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ate1904="1" autoCompressPictures="0"/>
  <mc:AlternateContent xmlns:mc="http://schemas.openxmlformats.org/markup-compatibility/2006">
    <mc:Choice Requires="x15">
      <x15ac:absPath xmlns:x15ac="http://schemas.microsoft.com/office/spreadsheetml/2010/11/ac" url="C:\GSU\Corporate Finance\Aswath Damodaran Excel Templates\"/>
    </mc:Choice>
  </mc:AlternateContent>
  <xr:revisionPtr revIDLastSave="0" documentId="8_{F83336B9-53AC-45E4-A45D-153DA81E1661}" xr6:coauthVersionLast="46" xr6:coauthVersionMax="46" xr10:uidLastSave="{00000000-0000-0000-0000-000000000000}"/>
  <bookViews>
    <workbookView xWindow="29890" yWindow="-110" windowWidth="19420" windowHeight="10420" xr2:uid="{00000000-000D-0000-FFFF-FFFF00000000}"/>
  </bookViews>
  <sheets>
    <sheet name="S&amp;P 500 Valuation" sheetId="1" r:id="rId1"/>
    <sheet name="Earnings and Growth" sheetId="3" r:id="rId2"/>
    <sheet name="Buyback &amp; Dividend computation" sheetId="2" r:id="rId3"/>
    <sheet name="Implied ERP- Annual since 1960" sheetId="5" r:id="rId4"/>
    <sheet name="Historical ERP" sheetId="6" r:id="rId5"/>
    <sheet name="Sheet9" sheetId="9" r:id="rId6"/>
    <sheet name="Sheet10" sheetId="10" r:id="rId7"/>
    <sheet name="Sheet11" sheetId="11" r:id="rId8"/>
    <sheet name="Sheet12" sheetId="12" r:id="rId9"/>
    <sheet name="Sheet13" sheetId="13" r:id="rId10"/>
    <sheet name="Sheet14" sheetId="14" r:id="rId11"/>
    <sheet name="Sheet15" sheetId="15" r:id="rId12"/>
    <sheet name="Sheet16" sheetId="16" r:id="rId13"/>
  </sheets>
  <definedNames>
    <definedName name="solver_adj" localSheetId="0" hidden="1">'S&amp;P 500 Valuation'!#REF!</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100</definedName>
    <definedName name="solver_lin" localSheetId="0" hidden="1">2</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2</definedName>
    <definedName name="solver_nod" localSheetId="0" hidden="1">2147483647</definedName>
    <definedName name="solver_num" localSheetId="0" hidden="1">0</definedName>
    <definedName name="solver_nwt" localSheetId="0" hidden="1">1</definedName>
    <definedName name="solver_opt" localSheetId="0" hidden="1">'S&amp;P 500 Valuation'!$C$40</definedName>
    <definedName name="solver_pre" localSheetId="0" hidden="1">0.000001</definedName>
    <definedName name="solver_rbv" localSheetId="0" hidden="1">1</definedName>
    <definedName name="solver_rlx" localSheetId="0" hidden="1">1</definedName>
    <definedName name="solver_rsd" localSheetId="0" hidden="1">0</definedName>
    <definedName name="solver_scl" localSheetId="0" hidden="1">2</definedName>
    <definedName name="solver_sho" localSheetId="0" hidden="1">2</definedName>
    <definedName name="solver_ssz" localSheetId="0" hidden="1">100</definedName>
    <definedName name="solver_tim" localSheetId="0" hidden="1">100</definedName>
    <definedName name="solver_tol" localSheetId="0" hidden="1">0.05</definedName>
    <definedName name="solver_typ" localSheetId="0" hidden="1">3</definedName>
    <definedName name="solver_val" localSheetId="0" hidden="1">1606.28</definedName>
    <definedName name="solver_ver" localSheetId="0" hidden="1">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28" i="1" l="1"/>
  <c r="L45" i="3"/>
  <c r="L44" i="3"/>
  <c r="L43" i="3"/>
  <c r="L42" i="3"/>
  <c r="B12" i="1"/>
  <c r="F13" i="1"/>
  <c r="F12" i="1"/>
  <c r="F11" i="1"/>
  <c r="B13" i="1"/>
  <c r="H36" i="1"/>
  <c r="H25" i="1"/>
  <c r="C25" i="1"/>
  <c r="D25" i="1"/>
  <c r="E25" i="1"/>
  <c r="F25" i="1"/>
  <c r="G25" i="1"/>
  <c r="B20" i="1"/>
  <c r="C36" i="1"/>
  <c r="L8" i="3"/>
  <c r="G8" i="3"/>
  <c r="B8" i="3"/>
  <c r="B26" i="1"/>
  <c r="B24" i="1"/>
  <c r="D35" i="1"/>
  <c r="C35" i="1"/>
  <c r="D36" i="1"/>
  <c r="E36" i="1"/>
  <c r="F36" i="1"/>
  <c r="G36" i="1"/>
  <c r="G22" i="2"/>
  <c r="F22" i="2"/>
  <c r="E22" i="2"/>
  <c r="D22" i="2"/>
  <c r="G21" i="2"/>
  <c r="F21" i="2"/>
  <c r="E21" i="2"/>
  <c r="D21" i="2"/>
  <c r="G20" i="2"/>
  <c r="N45" i="2"/>
  <c r="F20" i="2"/>
  <c r="E20" i="2"/>
  <c r="D20" i="2"/>
  <c r="C20" i="2"/>
  <c r="B20" i="2"/>
  <c r="L45" i="2"/>
  <c r="J45" i="2"/>
  <c r="I45" i="2"/>
  <c r="K45" i="2"/>
  <c r="G45" i="2"/>
  <c r="H45" i="2"/>
  <c r="J94" i="6"/>
  <c r="I94" i="6"/>
  <c r="H94" i="6"/>
  <c r="J93" i="6"/>
  <c r="I93" i="6"/>
  <c r="H93" i="6"/>
  <c r="J92" i="6"/>
  <c r="I92" i="6"/>
  <c r="H92" i="6"/>
  <c r="G92" i="6"/>
  <c r="G93" i="6"/>
  <c r="G94" i="6"/>
  <c r="F92" i="6"/>
  <c r="F93" i="6"/>
  <c r="F94" i="6"/>
  <c r="E92" i="6"/>
  <c r="E93" i="6"/>
  <c r="E94" i="6"/>
  <c r="E50" i="2"/>
  <c r="P8" i="3"/>
  <c r="O46" i="2"/>
  <c r="N44" i="2"/>
  <c r="Q44" i="2"/>
  <c r="G19" i="2"/>
  <c r="F19" i="2"/>
  <c r="E19" i="2"/>
  <c r="I44" i="2"/>
  <c r="B19" i="2"/>
  <c r="J44" i="2"/>
  <c r="C19" i="2"/>
  <c r="G44" i="2"/>
  <c r="H44" i="2"/>
  <c r="L44" i="2"/>
  <c r="G43" i="2"/>
  <c r="E49" i="2"/>
  <c r="B64" i="2"/>
  <c r="G5" i="3"/>
  <c r="G4" i="3"/>
  <c r="P5" i="3"/>
  <c r="P6" i="3"/>
  <c r="P7" i="3"/>
  <c r="Q27" i="2"/>
  <c r="Q28" i="2"/>
  <c r="Q29" i="2"/>
  <c r="Q30" i="2"/>
  <c r="Q31" i="2"/>
  <c r="Q32" i="2"/>
  <c r="Q33" i="2"/>
  <c r="Q34" i="2"/>
  <c r="Q35" i="2"/>
  <c r="Q36" i="2"/>
  <c r="Q37" i="2"/>
  <c r="Q38" i="2"/>
  <c r="Q39" i="2"/>
  <c r="Q40" i="2"/>
  <c r="Q41" i="2"/>
  <c r="Q42" i="2"/>
  <c r="Q43" i="2"/>
  <c r="E47" i="2"/>
  <c r="D72" i="2"/>
  <c r="C72" i="2"/>
  <c r="B72" i="2"/>
  <c r="F60" i="2"/>
  <c r="D60" i="2"/>
  <c r="E60" i="2"/>
  <c r="G60" i="2"/>
  <c r="E34" i="2"/>
  <c r="J34" i="2"/>
  <c r="C9" i="2"/>
  <c r="F59" i="2"/>
  <c r="D59" i="2"/>
  <c r="E59" i="2"/>
  <c r="G59" i="2"/>
  <c r="D58" i="2"/>
  <c r="E58" i="2"/>
  <c r="F57" i="2"/>
  <c r="E57" i="2"/>
  <c r="G57" i="2"/>
  <c r="E37" i="2"/>
  <c r="J37" i="2"/>
  <c r="C12" i="2"/>
  <c r="G56" i="2"/>
  <c r="E38" i="2"/>
  <c r="G38" i="2"/>
  <c r="E56" i="2"/>
  <c r="E14" i="2"/>
  <c r="F54" i="2"/>
  <c r="E54" i="2"/>
  <c r="G54" i="2"/>
  <c r="E40" i="2"/>
  <c r="J40" i="2"/>
  <c r="C15" i="2"/>
  <c r="E16" i="2"/>
  <c r="E17" i="2"/>
  <c r="E18" i="2"/>
  <c r="E51" i="2"/>
  <c r="N43" i="2"/>
  <c r="L43" i="2"/>
  <c r="G18" i="2"/>
  <c r="F18" i="2"/>
  <c r="J43" i="2"/>
  <c r="C18" i="2"/>
  <c r="I43" i="2"/>
  <c r="B18" i="2"/>
  <c r="E52" i="2"/>
  <c r="P4" i="3"/>
  <c r="L4" i="3"/>
  <c r="L5" i="3"/>
  <c r="L6" i="3"/>
  <c r="L7" i="3"/>
  <c r="G14" i="2"/>
  <c r="G15" i="2"/>
  <c r="G16" i="2"/>
  <c r="G17" i="2"/>
  <c r="F14" i="2"/>
  <c r="F15" i="2"/>
  <c r="F16" i="2"/>
  <c r="F17" i="2"/>
  <c r="G9" i="2"/>
  <c r="G10" i="2"/>
  <c r="G11" i="2"/>
  <c r="G12" i="2"/>
  <c r="G13" i="2"/>
  <c r="F9" i="2"/>
  <c r="F10" i="2"/>
  <c r="F11" i="2"/>
  <c r="F12" i="2"/>
  <c r="F13" i="2"/>
  <c r="I39" i="2"/>
  <c r="B14" i="2"/>
  <c r="J39" i="2"/>
  <c r="C14" i="2"/>
  <c r="I41" i="2"/>
  <c r="J41" i="2"/>
  <c r="C16" i="2"/>
  <c r="I42" i="2"/>
  <c r="J42" i="2"/>
  <c r="C17" i="2"/>
  <c r="B46" i="2"/>
  <c r="I38" i="2"/>
  <c r="B13" i="2"/>
  <c r="N42" i="2"/>
  <c r="G42" i="2"/>
  <c r="L42" i="2"/>
  <c r="J90" i="6"/>
  <c r="J89"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E91" i="6"/>
  <c r="G91" i="6"/>
  <c r="I91" i="6"/>
  <c r="H91" i="6"/>
  <c r="F91" i="6"/>
  <c r="D33" i="2"/>
  <c r="G33" i="2"/>
  <c r="K33" i="2"/>
  <c r="D8" i="2"/>
  <c r="E33" i="2"/>
  <c r="F8" i="2"/>
  <c r="G8" i="2"/>
  <c r="E53" i="2"/>
  <c r="D32" i="2"/>
  <c r="E32" i="2"/>
  <c r="N41" i="2"/>
  <c r="G41" i="2"/>
  <c r="H41" i="2"/>
  <c r="L41" i="2"/>
  <c r="G7" i="2"/>
  <c r="F7" i="2"/>
  <c r="D7" i="2"/>
  <c r="B34" i="1"/>
  <c r="H34" i="1"/>
  <c r="N40" i="2"/>
  <c r="N39" i="2"/>
  <c r="N38" i="2"/>
  <c r="N37" i="2"/>
  <c r="N36" i="2"/>
  <c r="N35" i="2"/>
  <c r="N34" i="2"/>
  <c r="N33" i="2"/>
  <c r="N32" i="2"/>
  <c r="N31" i="2"/>
  <c r="N30" i="2"/>
  <c r="N29" i="2"/>
  <c r="N28" i="2"/>
  <c r="N27" i="2"/>
  <c r="H40" i="2"/>
  <c r="L40" i="2"/>
  <c r="F6" i="2"/>
  <c r="G6" i="2"/>
  <c r="D30" i="2"/>
  <c r="G30" i="2"/>
  <c r="E30" i="2"/>
  <c r="D31" i="2"/>
  <c r="E31" i="2"/>
  <c r="D6" i="2"/>
  <c r="G55" i="2"/>
  <c r="F55" i="2"/>
  <c r="E55" i="2"/>
  <c r="G5" i="2"/>
  <c r="F5" i="2"/>
  <c r="D5" i="2"/>
  <c r="D28" i="2"/>
  <c r="E28" i="2"/>
  <c r="E3" i="2"/>
  <c r="D29" i="2"/>
  <c r="E4" i="2"/>
  <c r="E29" i="2"/>
  <c r="I88" i="6"/>
  <c r="H88" i="6"/>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I87" i="6"/>
  <c r="H87" i="6"/>
  <c r="I86" i="6"/>
  <c r="H86" i="6"/>
  <c r="I85" i="6"/>
  <c r="H85" i="6"/>
  <c r="I84" i="6"/>
  <c r="H84" i="6"/>
  <c r="I83" i="6"/>
  <c r="H83" i="6"/>
  <c r="I82" i="6"/>
  <c r="H82" i="6"/>
  <c r="I81" i="6"/>
  <c r="H81" i="6"/>
  <c r="I80" i="6"/>
  <c r="H80" i="6"/>
  <c r="I79" i="6"/>
  <c r="H79" i="6"/>
  <c r="I78" i="6"/>
  <c r="H78" i="6"/>
  <c r="I77" i="6"/>
  <c r="H77" i="6"/>
  <c r="I76" i="6"/>
  <c r="H76" i="6"/>
  <c r="I75" i="6"/>
  <c r="H75" i="6"/>
  <c r="I74" i="6"/>
  <c r="H74" i="6"/>
  <c r="I73" i="6"/>
  <c r="H73" i="6"/>
  <c r="I72" i="6"/>
  <c r="H72" i="6"/>
  <c r="I71" i="6"/>
  <c r="H71" i="6"/>
  <c r="I70" i="6"/>
  <c r="H70" i="6"/>
  <c r="I69" i="6"/>
  <c r="H69" i="6"/>
  <c r="I68" i="6"/>
  <c r="H68" i="6"/>
  <c r="I67" i="6"/>
  <c r="H67" i="6"/>
  <c r="I66" i="6"/>
  <c r="H66" i="6"/>
  <c r="I65" i="6"/>
  <c r="H65" i="6"/>
  <c r="I64" i="6"/>
  <c r="H64" i="6"/>
  <c r="I63" i="6"/>
  <c r="H63" i="6"/>
  <c r="I62" i="6"/>
  <c r="H62" i="6"/>
  <c r="I61" i="6"/>
  <c r="H61" i="6"/>
  <c r="I60" i="6"/>
  <c r="H60" i="6"/>
  <c r="I59" i="6"/>
  <c r="H59" i="6"/>
  <c r="I58" i="6"/>
  <c r="H58" i="6"/>
  <c r="I57" i="6"/>
  <c r="H57" i="6"/>
  <c r="I56" i="6"/>
  <c r="H56" i="6"/>
  <c r="I55" i="6"/>
  <c r="H55" i="6"/>
  <c r="I54" i="6"/>
  <c r="H54" i="6"/>
  <c r="I53" i="6"/>
  <c r="H53" i="6"/>
  <c r="I52" i="6"/>
  <c r="H52" i="6"/>
  <c r="I51" i="6"/>
  <c r="H51" i="6"/>
  <c r="I50" i="6"/>
  <c r="H50" i="6"/>
  <c r="I49" i="6"/>
  <c r="H49" i="6"/>
  <c r="I48" i="6"/>
  <c r="H48" i="6"/>
  <c r="I47" i="6"/>
  <c r="H47" i="6"/>
  <c r="I46" i="6"/>
  <c r="H46" i="6"/>
  <c r="I45" i="6"/>
  <c r="H45" i="6"/>
  <c r="I44" i="6"/>
  <c r="H44" i="6"/>
  <c r="I43" i="6"/>
  <c r="H43" i="6"/>
  <c r="I42" i="6"/>
  <c r="H42" i="6"/>
  <c r="I41" i="6"/>
  <c r="H41" i="6"/>
  <c r="I40" i="6"/>
  <c r="H40" i="6"/>
  <c r="I39" i="6"/>
  <c r="H39" i="6"/>
  <c r="I38" i="6"/>
  <c r="H38" i="6"/>
  <c r="I37" i="6"/>
  <c r="H37" i="6"/>
  <c r="I36" i="6"/>
  <c r="H36" i="6"/>
  <c r="I35" i="6"/>
  <c r="H35" i="6"/>
  <c r="I34" i="6"/>
  <c r="H34" i="6"/>
  <c r="I33" i="6"/>
  <c r="H33" i="6"/>
  <c r="I32" i="6"/>
  <c r="H32" i="6"/>
  <c r="I31" i="6"/>
  <c r="H31" i="6"/>
  <c r="I30" i="6"/>
  <c r="H30" i="6"/>
  <c r="I29" i="6"/>
  <c r="H29" i="6"/>
  <c r="I28" i="6"/>
  <c r="H28" i="6"/>
  <c r="I27" i="6"/>
  <c r="H27" i="6"/>
  <c r="I26" i="6"/>
  <c r="H26" i="6"/>
  <c r="I25" i="6"/>
  <c r="H25" i="6"/>
  <c r="I24" i="6"/>
  <c r="H24" i="6"/>
  <c r="I23" i="6"/>
  <c r="H23" i="6"/>
  <c r="I22" i="6"/>
  <c r="H22" i="6"/>
  <c r="I21" i="6"/>
  <c r="H21" i="6"/>
  <c r="I20" i="6"/>
  <c r="H20" i="6"/>
  <c r="I19" i="6"/>
  <c r="H19" i="6"/>
  <c r="I18" i="6"/>
  <c r="H18" i="6"/>
  <c r="I17" i="6"/>
  <c r="H17" i="6"/>
  <c r="I16" i="6"/>
  <c r="H16" i="6"/>
  <c r="I15" i="6"/>
  <c r="H15" i="6"/>
  <c r="I14" i="6"/>
  <c r="H14" i="6"/>
  <c r="I13" i="6"/>
  <c r="H13" i="6"/>
  <c r="I12" i="6"/>
  <c r="H12" i="6"/>
  <c r="I11" i="6"/>
  <c r="H11" i="6"/>
  <c r="I10" i="6"/>
  <c r="H10" i="6"/>
  <c r="I9" i="6"/>
  <c r="H9" i="6"/>
  <c r="I8" i="6"/>
  <c r="H8" i="6"/>
  <c r="I7" i="6"/>
  <c r="H7" i="6"/>
  <c r="I6" i="6"/>
  <c r="H6" i="6"/>
  <c r="I5" i="6"/>
  <c r="H5" i="6"/>
  <c r="I4" i="6"/>
  <c r="H4" i="6"/>
  <c r="I3" i="6"/>
  <c r="H3" i="6"/>
  <c r="B4" i="3"/>
  <c r="G6" i="3"/>
  <c r="B5" i="3"/>
  <c r="G2" i="2"/>
  <c r="G3" i="2"/>
  <c r="G4" i="2"/>
  <c r="F2" i="2"/>
  <c r="F3" i="2"/>
  <c r="F4" i="2"/>
  <c r="D27" i="2"/>
  <c r="E27" i="2"/>
  <c r="F56" i="2"/>
  <c r="D4" i="2"/>
  <c r="D3" i="2"/>
  <c r="D62" i="2"/>
  <c r="E62" i="2"/>
  <c r="D61" i="2"/>
  <c r="E61" i="2"/>
  <c r="G61" i="2"/>
  <c r="F61" i="2"/>
  <c r="D2" i="2"/>
  <c r="C6" i="2"/>
  <c r="B6" i="2"/>
  <c r="C5" i="2"/>
  <c r="B5" i="2"/>
  <c r="C4" i="2"/>
  <c r="B4" i="2"/>
  <c r="C3" i="2"/>
  <c r="B3" i="2"/>
  <c r="C2" i="2"/>
  <c r="B8" i="2"/>
  <c r="C8" i="2"/>
  <c r="B7" i="2"/>
  <c r="C7" i="2"/>
  <c r="B2" i="2"/>
  <c r="K43" i="2"/>
  <c r="D18" i="2"/>
  <c r="E72" i="2"/>
  <c r="C47" i="2"/>
  <c r="F47" i="2"/>
  <c r="F46" i="2"/>
  <c r="J91" i="6"/>
  <c r="G27" i="2"/>
  <c r="D40" i="2"/>
  <c r="I40" i="2"/>
  <c r="B15" i="2"/>
  <c r="G28" i="2"/>
  <c r="G29" i="2"/>
  <c r="K42" i="2"/>
  <c r="D17" i="2"/>
  <c r="D37" i="2"/>
  <c r="I37" i="2"/>
  <c r="B12" i="2"/>
  <c r="D34" i="2"/>
  <c r="E9" i="2"/>
  <c r="E6" i="2"/>
  <c r="E7" i="2"/>
  <c r="B17" i="2"/>
  <c r="G32" i="2"/>
  <c r="G31" i="2"/>
  <c r="D36" i="2"/>
  <c r="E36" i="2"/>
  <c r="J36" i="2"/>
  <c r="C11" i="2"/>
  <c r="K39" i="2"/>
  <c r="D14" i="2"/>
  <c r="E5" i="2"/>
  <c r="E2" i="2"/>
  <c r="J38" i="2"/>
  <c r="D47" i="2"/>
  <c r="G47" i="2"/>
  <c r="E13" i="2"/>
  <c r="G37" i="2"/>
  <c r="E12" i="2"/>
  <c r="K40" i="2"/>
  <c r="D15" i="2"/>
  <c r="I36" i="2"/>
  <c r="E11" i="2"/>
  <c r="G36" i="2"/>
  <c r="C13" i="2"/>
  <c r="K38" i="2"/>
  <c r="D13" i="2"/>
  <c r="B11" i="2"/>
  <c r="P9" i="3"/>
  <c r="B6" i="3"/>
  <c r="B7" i="3"/>
  <c r="D46" i="2"/>
  <c r="I46" i="2"/>
  <c r="E46" i="2"/>
  <c r="J46" i="2"/>
  <c r="J35" i="6"/>
  <c r="E36" i="6"/>
  <c r="K36" i="2"/>
  <c r="D11" i="2"/>
  <c r="E8" i="2"/>
  <c r="K41" i="2"/>
  <c r="D16" i="2"/>
  <c r="B16" i="2"/>
  <c r="K44" i="2"/>
  <c r="D19" i="2"/>
  <c r="E35" i="2"/>
  <c r="J35" i="2"/>
  <c r="C10" i="2"/>
  <c r="D35" i="2"/>
  <c r="K37" i="2"/>
  <c r="D12" i="2"/>
  <c r="G34" i="2"/>
  <c r="I34" i="2"/>
  <c r="C46" i="2"/>
  <c r="N46" i="2"/>
  <c r="E15" i="2"/>
  <c r="G7" i="3"/>
  <c r="G9" i="3"/>
  <c r="H47" i="2"/>
  <c r="F42" i="2"/>
  <c r="L9" i="3"/>
  <c r="B9" i="3"/>
  <c r="G46" i="2"/>
  <c r="B35" i="1"/>
  <c r="Q46" i="2"/>
  <c r="E10" i="2"/>
  <c r="I35" i="2"/>
  <c r="G35" i="2"/>
  <c r="B9" i="2"/>
  <c r="K34" i="2"/>
  <c r="D9" i="2"/>
  <c r="J36" i="6"/>
  <c r="E37" i="6"/>
  <c r="K46" i="2"/>
  <c r="E24" i="1"/>
  <c r="C49" i="1"/>
  <c r="B25" i="1"/>
  <c r="H46" i="2"/>
  <c r="E38" i="6"/>
  <c r="J37" i="6"/>
  <c r="B10" i="2"/>
  <c r="K35" i="2"/>
  <c r="D10" i="2"/>
  <c r="G24" i="1"/>
  <c r="D24" i="1"/>
  <c r="C48" i="1"/>
  <c r="F24" i="1"/>
  <c r="C50" i="1"/>
  <c r="C24" i="1"/>
  <c r="C51" i="1"/>
  <c r="H24" i="1"/>
  <c r="C52" i="1"/>
  <c r="E47" i="1"/>
  <c r="C47" i="1"/>
  <c r="L46" i="2"/>
  <c r="B37" i="1"/>
  <c r="B36" i="1"/>
  <c r="E39" i="6"/>
  <c r="J38" i="6"/>
  <c r="G35" i="1"/>
  <c r="H35" i="1"/>
  <c r="G47" i="1"/>
  <c r="E40" i="6"/>
  <c r="J39" i="6"/>
  <c r="H26" i="1"/>
  <c r="G27" i="1"/>
  <c r="D52" i="1"/>
  <c r="E51" i="1"/>
  <c r="G51" i="1"/>
  <c r="E17" i="1"/>
  <c r="E35" i="1"/>
  <c r="H37" i="1"/>
  <c r="G38" i="1"/>
  <c r="E41" i="6"/>
  <c r="J40" i="6"/>
  <c r="C37" i="1"/>
  <c r="C39" i="1"/>
  <c r="C26" i="1"/>
  <c r="C28" i="1"/>
  <c r="E52" i="1"/>
  <c r="G52" i="1"/>
  <c r="E48" i="1"/>
  <c r="G48" i="1"/>
  <c r="F52" i="1"/>
  <c r="H52" i="1"/>
  <c r="F47" i="1"/>
  <c r="D47" i="1"/>
  <c r="F35" i="1"/>
  <c r="E50" i="1"/>
  <c r="G50" i="1"/>
  <c r="E49" i="1"/>
  <c r="G49" i="1"/>
  <c r="E42" i="6"/>
  <c r="J41" i="6"/>
  <c r="D26" i="1"/>
  <c r="D48" i="1"/>
  <c r="D37" i="1"/>
  <c r="D39" i="1"/>
  <c r="F48" i="1"/>
  <c r="H48" i="1"/>
  <c r="H47" i="1"/>
  <c r="E43" i="6"/>
  <c r="J42" i="6"/>
  <c r="E26" i="1"/>
  <c r="E37" i="1"/>
  <c r="E39" i="1"/>
  <c r="E28" i="1"/>
  <c r="D49" i="1"/>
  <c r="F49" i="1"/>
  <c r="E44" i="6"/>
  <c r="J43" i="6"/>
  <c r="F37" i="1"/>
  <c r="F39" i="1"/>
  <c r="F26" i="1"/>
  <c r="H49" i="1"/>
  <c r="F50" i="1"/>
  <c r="F28" i="1"/>
  <c r="D50" i="1"/>
  <c r="J44" i="6"/>
  <c r="E45" i="6"/>
  <c r="G37" i="1"/>
  <c r="G39" i="1"/>
  <c r="G26" i="1"/>
  <c r="G28" i="1"/>
  <c r="C29" i="1"/>
  <c r="C31" i="1"/>
  <c r="D51" i="1"/>
  <c r="C40" i="1"/>
  <c r="F51" i="1"/>
  <c r="H50" i="1"/>
  <c r="E46" i="6"/>
  <c r="J45" i="6"/>
  <c r="H51" i="1"/>
  <c r="C30" i="1"/>
  <c r="C41" i="1"/>
  <c r="C42" i="1"/>
  <c r="E47" i="6"/>
  <c r="J46" i="6"/>
  <c r="J47" i="6"/>
  <c r="E48" i="6"/>
  <c r="J48" i="6"/>
  <c r="E49" i="6"/>
  <c r="J49" i="6"/>
  <c r="E50" i="6"/>
  <c r="J50" i="6"/>
  <c r="E51" i="6"/>
  <c r="E52" i="6"/>
  <c r="J51" i="6"/>
  <c r="E53" i="6"/>
  <c r="J52" i="6"/>
  <c r="E54" i="6"/>
  <c r="J53" i="6"/>
  <c r="E55" i="6"/>
  <c r="J54" i="6"/>
  <c r="J55" i="6"/>
  <c r="E56" i="6"/>
  <c r="J56" i="6"/>
  <c r="E57" i="6"/>
  <c r="E58" i="6"/>
  <c r="J57" i="6"/>
  <c r="J58" i="6"/>
  <c r="E59" i="6"/>
  <c r="E60" i="6"/>
  <c r="J59" i="6"/>
  <c r="J60" i="6"/>
  <c r="E61" i="6"/>
  <c r="J61" i="6"/>
  <c r="E62" i="6"/>
  <c r="E63" i="6"/>
  <c r="J62" i="6"/>
  <c r="E64" i="6"/>
  <c r="J63" i="6"/>
  <c r="E65" i="6"/>
  <c r="J64" i="6"/>
  <c r="J65" i="6"/>
  <c r="E66" i="6"/>
  <c r="E67" i="6"/>
  <c r="J66" i="6"/>
  <c r="J67" i="6"/>
  <c r="E68" i="6"/>
  <c r="E69" i="6"/>
  <c r="J68" i="6"/>
  <c r="E70" i="6"/>
  <c r="J69" i="6"/>
  <c r="J70" i="6"/>
  <c r="E71" i="6"/>
  <c r="J71" i="6"/>
  <c r="E72" i="6"/>
  <c r="J72" i="6"/>
  <c r="E73" i="6"/>
  <c r="J73" i="6"/>
  <c r="E74" i="6"/>
  <c r="E75" i="6"/>
  <c r="J74" i="6"/>
  <c r="J75" i="6"/>
  <c r="E76" i="6"/>
  <c r="J76" i="6"/>
  <c r="E77" i="6"/>
  <c r="E78" i="6"/>
  <c r="J77" i="6"/>
  <c r="E79" i="6"/>
  <c r="J78" i="6"/>
  <c r="E80" i="6"/>
  <c r="J79" i="6"/>
  <c r="J80" i="6"/>
  <c r="E81" i="6"/>
  <c r="J81" i="6"/>
  <c r="E82" i="6"/>
  <c r="J82" i="6"/>
  <c r="E83" i="6"/>
  <c r="E84" i="6"/>
  <c r="J83" i="6"/>
  <c r="E85" i="6"/>
  <c r="J84" i="6"/>
  <c r="E86" i="6"/>
  <c r="J85" i="6"/>
  <c r="J86" i="6"/>
  <c r="E87" i="6"/>
  <c r="J87" i="6"/>
  <c r="E88" i="6"/>
  <c r="J8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tc={31A7805A-C843-7747-B7DE-73801EEA50F5}</author>
    <author>tc={3616F637-1BF6-914C-9E4F-99355F8E5935}</author>
    <author>tc={7DBAEAD6-0AB8-1B4F-A31A-3ECC568B1F5A}</author>
    <author>tc={0ED1E3E5-6EB5-C649-9353-30FFC5A69AEC}</author>
  </authors>
  <commentList>
    <comment ref="B3"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Enter the current level of the index.</t>
        </r>
      </text>
    </comment>
    <comment ref="B7" authorId="0" shapeId="0" xr:uid="{00000000-0006-0000-0000-000005000000}">
      <text>
        <r>
          <rPr>
            <b/>
            <sz val="9"/>
            <color rgb="FF000000"/>
            <rFont val="Geneva"/>
            <family val="2"/>
          </rPr>
          <t>Aswath Damodaran:</t>
        </r>
        <r>
          <rPr>
            <sz val="9"/>
            <color rgb="FF000000"/>
            <rFont val="Geneva"/>
            <family val="2"/>
          </rPr>
          <t xml:space="preserve">
</t>
        </r>
        <r>
          <rPr>
            <sz val="9"/>
            <color rgb="FF000000"/>
            <rFont val="Geneva"/>
            <family val="2"/>
          </rPr>
          <t>This should be a forecast of earnings growth from analysts following stocks in the index.</t>
        </r>
      </text>
    </comment>
    <comment ref="B8"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Thks is the current rate on a long term government bond.</t>
        </r>
      </text>
    </comment>
    <comment ref="B9" authorId="1" shapeId="0" xr:uid="{31A7805A-C843-7747-B7DE-73801EEA50F5}">
      <text>
        <t>[Threaded comment]
Your version of Excel allows you to read this threaded comment; however, any edits to it will get removed if the file is opened in a newer version of Excel. Learn more: https://go.microsoft.com/fwlink/?linkid=870924
Comment:
    If you feel that the current risk free rate is unsustainable, answer “Yes” and be ready to enter a steady state risk free rate in the cell below.</t>
      </text>
    </comment>
    <comment ref="B10" authorId="2" shapeId="0" xr:uid="{3616F637-1BF6-914C-9E4F-99355F8E5935}">
      <text>
        <t>[Threaded comment]
Your version of Excel allows you to read this threaded comment; however, any edits to it will get removed if the file is opened in a newer version of Excel. Learn more: https://go.microsoft.com/fwlink/?linkid=870924
Comment:
    If you normalize the risk free rate, I will also normalize the equity risk premium and use the historical premium (HUS) in the terminal cost of equity.</t>
      </text>
    </comment>
    <comment ref="B12" authorId="0" shapeId="0" xr:uid="{00000000-0006-0000-0000-000007000000}">
      <text>
        <r>
          <rPr>
            <b/>
            <sz val="9"/>
            <color rgb="FF000000"/>
            <rFont val="Geneva"/>
            <family val="2"/>
          </rPr>
          <t>Aswath Damodaran:</t>
        </r>
        <r>
          <rPr>
            <sz val="9"/>
            <color rgb="FF000000"/>
            <rFont val="Geneva"/>
            <family val="2"/>
          </rPr>
          <t xml:space="preserve">
</t>
        </r>
        <r>
          <rPr>
            <sz val="9"/>
            <color rgb="FF000000"/>
            <rFont val="Geneva"/>
            <family val="2"/>
          </rPr>
          <t>This is the expected risk premium for investing in stock.</t>
        </r>
      </text>
    </comment>
    <comment ref="B13"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As a default, I will set this equal to the treasury bond rate. You can reset it to a lower number.</t>
        </r>
      </text>
    </comment>
    <comment ref="B17" authorId="3" shapeId="0" xr:uid="{7DBAEAD6-0AB8-1B4F-A31A-3ECC568B1F5A}">
      <text>
        <t>[Threaded comment]
Your version of Excel allows you to read this threaded comment; however, any edits to it will get removed if the file is opened in a newer version of Excel. Learn more: https://go.microsoft.com/fwlink/?linkid=870924
Comment:
    Check worksheet on earnings for estimates that are avaialble today (June 1, 2020)</t>
      </text>
    </comment>
    <comment ref="B20" authorId="4" shapeId="0" xr:uid="{0ED1E3E5-6EB5-C649-9353-30FFC5A69AEC}">
      <text>
        <t>[Threaded comment]
Your version of Excel allows you to read this threaded comment; however, any edits to it will get removed if the file is opened in a newer version of Excel. Learn more: https://go.microsoft.com/fwlink/?linkid=870924
Comment:
    You can use the cash flow worksheet to the right, where you forecast drops in dividends and buybacks in 2020, and it will be calculated, or enter this directly as an input.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A1" authorId="0" shapeId="0" xr:uid="{00000000-0006-0000-0400-000001000000}">
      <text>
        <r>
          <rPr>
            <b/>
            <sz val="9"/>
            <color rgb="FF000000"/>
            <rFont val="Geneva"/>
            <family val="2"/>
          </rPr>
          <t xml:space="preserve">Aswath Damodaran:
</t>
        </r>
        <r>
          <rPr>
            <b/>
            <sz val="9"/>
            <color rgb="FF000000"/>
            <rFont val="Geneva"/>
            <family val="2"/>
          </rPr>
          <t>These are estimated by aggregating the analyst forecasts of earnings for the individual companies in the S&amp;P 500. Historically, these numbers have been upward biased at the index level.</t>
        </r>
      </text>
    </comment>
    <comment ref="F1" authorId="0" shapeId="0" xr:uid="{1990157C-BB60-C940-BF7A-32A3BBAE9582}">
      <text>
        <r>
          <rPr>
            <b/>
            <sz val="9"/>
            <color rgb="FF000000"/>
            <rFont val="Geneva"/>
            <family val="2"/>
          </rPr>
          <t xml:space="preserve">Aswath Damodaran:
</t>
        </r>
        <r>
          <rPr>
            <b/>
            <sz val="9"/>
            <color rgb="FF000000"/>
            <rFont val="Geneva"/>
            <family val="2"/>
          </rPr>
          <t>These are estimated by aggregating the analyst forecasts of earnings for the individual companies in the S&amp;P 500. Historically, these numbers have been upward biased at the index level.</t>
        </r>
      </text>
    </comment>
    <comment ref="K1" authorId="0" shapeId="0" xr:uid="{00000000-0006-0000-0400-000002000000}">
      <text>
        <r>
          <rPr>
            <b/>
            <sz val="9"/>
            <color rgb="FF000000"/>
            <rFont val="Geneva"/>
            <family val="2"/>
          </rPr>
          <t xml:space="preserve">Aswath Damodaran:
</t>
        </r>
        <r>
          <rPr>
            <b/>
            <sz val="9"/>
            <color rgb="FF000000"/>
            <rFont val="Geneva"/>
            <family val="2"/>
          </rPr>
          <t>These are estimates of overall earnings for the S&amp;P 500 companies made at an aggregate level. They tend to be less biased but there are fewer analysts who estimate these numbers.</t>
        </r>
      </text>
    </comment>
  </commentList>
</comments>
</file>

<file path=xl/sharedStrings.xml><?xml version="1.0" encoding="utf-8"?>
<sst xmlns="http://schemas.openxmlformats.org/spreadsheetml/2006/main" count="247" uniqueCount="188">
  <si>
    <t>Expected Terminal Value =</t>
  </si>
  <si>
    <t>Present Value =</t>
  </si>
  <si>
    <t>Intrinsic Value of Index =</t>
  </si>
  <si>
    <t>Dividend Yield</t>
  </si>
  <si>
    <t>Buybacks/Index</t>
  </si>
  <si>
    <t>Year</t>
  </si>
  <si>
    <t>Year</t>
    <phoneticPr fontId="12" type="noConversion"/>
  </si>
  <si>
    <t>Dividend yield</t>
    <phoneticPr fontId="12" type="noConversion"/>
  </si>
  <si>
    <t>Buyback yield</t>
    <phoneticPr fontId="12" type="noConversion"/>
  </si>
  <si>
    <t>Dividends</t>
    <phoneticPr fontId="12" type="noConversion"/>
  </si>
  <si>
    <t>Buybacks</t>
    <phoneticPr fontId="12" type="noConversion"/>
  </si>
  <si>
    <t>Cash to equity</t>
    <phoneticPr fontId="12" type="noConversion"/>
  </si>
  <si>
    <t>Market value of index</t>
    <phoneticPr fontId="12" type="noConversion"/>
  </si>
  <si>
    <t>Ratio</t>
    <phoneticPr fontId="12" type="noConversion"/>
  </si>
  <si>
    <t>Dividends</t>
    <phoneticPr fontId="12" type="noConversion"/>
  </si>
  <si>
    <t>Dividends</t>
  </si>
  <si>
    <t>Buybacks</t>
  </si>
  <si>
    <t>Quarter</t>
  </si>
  <si>
    <t>4 quarters ago</t>
  </si>
  <si>
    <t>3 quarters ago</t>
  </si>
  <si>
    <t>2 quarters ago</t>
  </si>
  <si>
    <t>Last quarter</t>
  </si>
  <si>
    <t>Sum</t>
  </si>
  <si>
    <t>Average: Last 10 years =</t>
  </si>
  <si>
    <t>Average: Last 5 years</t>
  </si>
  <si>
    <t>Compounded average</t>
  </si>
  <si>
    <t>Index units adjuster =</t>
  </si>
  <si>
    <t>Index level</t>
  </si>
  <si>
    <t>Unit adjuster</t>
  </si>
  <si>
    <t>Market Cap</t>
  </si>
  <si>
    <t>Index at the start of the current quarter =</t>
  </si>
  <si>
    <t>Enter current level of index</t>
  </si>
  <si>
    <t>Source</t>
  </si>
  <si>
    <t>Earnings on Index</t>
  </si>
  <si>
    <t>Updated at the start of every quarter</t>
  </si>
  <si>
    <t>Last updated</t>
  </si>
  <si>
    <t>Earnings</t>
  </si>
  <si>
    <t>Payout</t>
  </si>
  <si>
    <t>Book Value of Equity at start of year</t>
  </si>
  <si>
    <t>Sales per share</t>
  </si>
  <si>
    <t>Return on Equity</t>
  </si>
  <si>
    <t>Net Profit Margin</t>
  </si>
  <si>
    <t>Inputs</t>
  </si>
  <si>
    <t>Enter current long term risk free rate  =</t>
  </si>
  <si>
    <t>Historical Equity risk premium (US) =</t>
  </si>
  <si>
    <t>Historical Equity risk premium (Global) =</t>
  </si>
  <si>
    <t>Average implied ERP (last decade) =</t>
  </si>
  <si>
    <t>Average implied ERP (1960-Current) =</t>
  </si>
  <si>
    <t>Earnings Yield</t>
  </si>
  <si>
    <t>T.Bond Rate</t>
  </si>
  <si>
    <t>Implied ERP</t>
  </si>
  <si>
    <t>HUS</t>
  </si>
  <si>
    <t>HG</t>
  </si>
  <si>
    <t>ERP10</t>
  </si>
  <si>
    <t>ERP used to compute fair value of index (you can override this number) =</t>
  </si>
  <si>
    <t>If you want to compute an intrinsic value for index, what ERP would you like to use?</t>
  </si>
  <si>
    <t>Inflation rate</t>
  </si>
  <si>
    <t>Inflation adjusted Earnings</t>
  </si>
  <si>
    <t>Intrinsic Trailing PE =</t>
  </si>
  <si>
    <t>Factset</t>
  </si>
  <si>
    <t>Thomson Reuters</t>
  </si>
  <si>
    <t>Intrinsic CAPE (based on inflation-adjusted ten year average earnings) =</t>
  </si>
  <si>
    <t>Sources for top down estimates</t>
  </si>
  <si>
    <t>S&amp;P 500</t>
  </si>
  <si>
    <t>Annual Returns on Investments in</t>
  </si>
  <si>
    <t>Compounded Value of $ 100</t>
  </si>
  <si>
    <t>3-month T.Bill</t>
  </si>
  <si>
    <t>10-year T. Bond</t>
  </si>
  <si>
    <t>Stocks</t>
  </si>
  <si>
    <t>T.Bills</t>
  </si>
  <si>
    <t>T.Bonds</t>
  </si>
  <si>
    <t>Stocks - Bills</t>
    <phoneticPr fontId="13" type="noConversion"/>
  </si>
  <si>
    <t>Stocks - Bonds</t>
    <phoneticPr fontId="13" type="noConversion"/>
  </si>
  <si>
    <t>Historical risk premium</t>
  </si>
  <si>
    <t>Expected growth rate in the long term (after year 5) =</t>
  </si>
  <si>
    <t>Historical High ERP (1960-Current) =</t>
  </si>
  <si>
    <t>ERPHigh</t>
  </si>
  <si>
    <t>ERPLong</t>
  </si>
  <si>
    <t>Issuances</t>
  </si>
  <si>
    <t>Stock Issuances</t>
  </si>
  <si>
    <t>Gross Cash Yield</t>
  </si>
  <si>
    <t>Net Cash Yield</t>
  </si>
  <si>
    <t>Computing the trailing 12 month number (S&amp;P Data updated every quarter on March 15, June 15, Sept 15 and Dec 15)</t>
  </si>
  <si>
    <t>Month</t>
  </si>
  <si>
    <t>Trailing four quarters</t>
  </si>
  <si>
    <t>Updated at the start of every month</t>
  </si>
  <si>
    <t>Cash Return</t>
  </si>
  <si>
    <t>S&amp;P Cap IQ update</t>
  </si>
  <si>
    <t>S&amp;P Capital IQ data (updated every month and does not match up to the S&amp;P update every three quarters)</t>
  </si>
  <si>
    <t>Index Units Adjuster</t>
  </si>
  <si>
    <t>Net Cash to Equity</t>
  </si>
  <si>
    <t>Expected Earnings</t>
  </si>
  <si>
    <t>Expected cash payout (dividends + buybacks) as % of earnings</t>
  </si>
  <si>
    <t>Last 12 months</t>
  </si>
  <si>
    <t>Terminal Year</t>
  </si>
  <si>
    <t>Yes</t>
  </si>
  <si>
    <t>No</t>
  </si>
  <si>
    <t>Yes/No</t>
  </si>
  <si>
    <t>Thomson-Reuters</t>
  </si>
  <si>
    <t>Average</t>
  </si>
  <si>
    <t>Earnings Growth</t>
  </si>
  <si>
    <t>Column1</t>
  </si>
  <si>
    <t>Expected Dividends + Buybacks =</t>
  </si>
  <si>
    <t>Yardeni</t>
  </si>
  <si>
    <t>S&amp;P Cap IQ</t>
  </si>
  <si>
    <t>Bottom up Estimates for Net Income (S&amp;P)</t>
  </si>
  <si>
    <t>S&amp;P Capital IQ</t>
  </si>
  <si>
    <t>Column2</t>
  </si>
  <si>
    <t>Base for normalized Cashflow</t>
  </si>
  <si>
    <t>individual companies for next two years</t>
  </si>
  <si>
    <t>Used estimated Net Income aggregated across</t>
  </si>
  <si>
    <t>Analyst Consensus</t>
  </si>
  <si>
    <t>Corona Virus Effects</t>
  </si>
  <si>
    <t>Intrinsic Value Estimate (based on your choice of ERP) based upon pre-Corona numbers</t>
  </si>
  <si>
    <t>How much will cash flows be as a percent of earnings in 2020?</t>
  </si>
  <si>
    <t>Updated April 1, 2020</t>
  </si>
  <si>
    <t>Do you want to adjust earnings in 2020 for expected COVID effects?</t>
  </si>
  <si>
    <t>Growth (yrs 2-5)</t>
  </si>
  <si>
    <t>Updated June 1, 2020</t>
  </si>
  <si>
    <t>S&amp;P 500 Intrinsic Value Estimator</t>
  </si>
  <si>
    <t>Earnings in 2021</t>
  </si>
  <si>
    <t>Intrinsic Value Estimate (based on your choice of ERP) based upon post-Corona numbers</t>
  </si>
  <si>
    <t>Pre-Corona</t>
  </si>
  <si>
    <t>Post-Corona</t>
  </si>
  <si>
    <t>Corona Effect</t>
  </si>
  <si>
    <t>Earnings in 2020</t>
  </si>
  <si>
    <t>Earnings in 2019</t>
  </si>
  <si>
    <t>Dividends + Buybacks in 2019</t>
  </si>
  <si>
    <t>Expected growth rate in earnings for the next 5 years (pre-COVID estimates) =</t>
  </si>
  <si>
    <t xml:space="preserve">Do you want to change the risk free rate after year 5 </t>
  </si>
  <si>
    <t>Computed based upon how much of the earnings drop in 2020 will be recouped by 2024</t>
  </si>
  <si>
    <t>Cash flow worksheet for 2020</t>
  </si>
  <si>
    <t>Expected drop in 2020</t>
  </si>
  <si>
    <t>Equity Risk Premium Choices</t>
  </si>
  <si>
    <t>Growth and Discount Rate Inputs</t>
  </si>
  <si>
    <t>How much of the COVID earnings loss will be recouped by 2024?</t>
  </si>
  <si>
    <t>If you set this to 100%, the earnings in 2024 in the post-Corona valuation = earnings in 2024 in the pre-Corona valuation</t>
  </si>
  <si>
    <t>If yes, riskfree rate after year 5</t>
  </si>
  <si>
    <t>Earnings and Cash Return: Pre- versus Post-Corona Estimates</t>
  </si>
  <si>
    <t>Return on Equity =</t>
  </si>
  <si>
    <t>Direct input</t>
  </si>
  <si>
    <t>ERPDirect</t>
  </si>
  <si>
    <t>Top down Estimates (Analyst Consensus on 6/1/20)</t>
  </si>
  <si>
    <t>Top Down Estimates (Yardeni on 6/1/20)</t>
  </si>
  <si>
    <t>On 6/1/20</t>
  </si>
  <si>
    <t>Market Strategists Estimates</t>
  </si>
  <si>
    <t>Firm</t>
  </si>
  <si>
    <t>Strategist</t>
  </si>
  <si>
    <t>2020 S&amp;P Target</t>
  </si>
  <si>
    <t>2020 EPS Estimate</t>
  </si>
  <si>
    <t>Implied P/E</t>
  </si>
  <si>
    <t>Bank of America Merrill Lynch</t>
  </si>
  <si>
    <t>Savita Subramanian</t>
  </si>
  <si>
    <t>Barclays</t>
  </si>
  <si>
    <t>Maneesh Deshpande</t>
  </si>
  <si>
    <t>BMO</t>
  </si>
  <si>
    <t>Brian Belski</t>
  </si>
  <si>
    <t>Suspended</t>
  </si>
  <si>
    <t>BTIG</t>
  </si>
  <si>
    <t>Julian Emanuel</t>
  </si>
  <si>
    <t>Canaccord Genuity</t>
  </si>
  <si>
    <t>Tony Dwyer</t>
  </si>
  <si>
    <t>CFRA</t>
  </si>
  <si>
    <t xml:space="preserve">Sam Stovall </t>
  </si>
  <si>
    <t>Citigroup</t>
  </si>
  <si>
    <t>Tobias Levkovich</t>
  </si>
  <si>
    <t>Credit Suisse</t>
  </si>
  <si>
    <t>Jonathan Golub</t>
  </si>
  <si>
    <t>Deutsche Bank</t>
  </si>
  <si>
    <t>Binky Chadha</t>
  </si>
  <si>
    <t>Goldman Sachs</t>
  </si>
  <si>
    <t>David Kostin</t>
  </si>
  <si>
    <t>JPMorgan Chase</t>
  </si>
  <si>
    <t>Dubravko Lakos-Bujas</t>
  </si>
  <si>
    <t>Morgan Stanley</t>
  </si>
  <si>
    <t>Mike Wilson</t>
  </si>
  <si>
    <t>Oppenheimer</t>
  </si>
  <si>
    <t>John Stoltzfus</t>
  </si>
  <si>
    <t>RBC</t>
  </si>
  <si>
    <t>Lori Calvasina</t>
  </si>
  <si>
    <t>UBS</t>
  </si>
  <si>
    <t>Francois Trahan</t>
  </si>
  <si>
    <t>Wells Fargo Investment Institute</t>
  </si>
  <si>
    <t>Darrell Cronk</t>
  </si>
  <si>
    <t>Median</t>
  </si>
  <si>
    <t>High</t>
  </si>
  <si>
    <t>Low</t>
  </si>
  <si>
    <t>Bottom up Estimates (Thomson Reuters on 6/1/2020)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</si>
</sst>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m/d/yy;@"/>
  </numFmts>
  <fonts count="35">
    <font>
      <b/>
      <sz val="10"/>
      <name val="Geneva"/>
      <family val="2"/>
    </font>
    <font>
      <sz val="12"/>
      <color theme="1"/>
      <name val="Calibri"/>
      <family val="2"/>
      <scheme val="minor"/>
    </font>
    <font>
      <b/>
      <sz val="10"/>
      <name val="Geneva"/>
      <family val="2"/>
    </font>
    <font>
      <i/>
      <sz val="10"/>
      <name val="Geneva"/>
      <family val="2"/>
    </font>
    <font>
      <b/>
      <i/>
      <sz val="10"/>
      <name val="Geneva"/>
      <family val="2"/>
    </font>
    <font>
      <sz val="10"/>
      <name val="Geneva"/>
      <family val="2"/>
    </font>
    <font>
      <sz val="24"/>
      <name val="Geneva"/>
      <family val="2"/>
    </font>
    <font>
      <sz val="10"/>
      <name val="Times"/>
      <family val="1"/>
    </font>
    <font>
      <b/>
      <sz val="10"/>
      <name val="Times"/>
      <family val="1"/>
    </font>
    <font>
      <sz val="12"/>
      <name val="Times"/>
      <family val="1"/>
    </font>
    <font>
      <b/>
      <sz val="12"/>
      <name val="Times"/>
      <family val="1"/>
    </font>
    <font>
      <b/>
      <u/>
      <sz val="10"/>
      <color indexed="12"/>
      <name val="Geneva"/>
      <family val="2"/>
    </font>
    <font>
      <sz val="8"/>
      <name val="Verdana"/>
      <family val="2"/>
    </font>
    <font>
      <b/>
      <sz val="10"/>
      <name val="Geneva"/>
      <family val="2"/>
    </font>
    <font>
      <b/>
      <sz val="12"/>
      <name val="Geneva"/>
      <family val="2"/>
    </font>
    <font>
      <b/>
      <sz val="24"/>
      <name val="Geneva"/>
      <family val="2"/>
    </font>
    <font>
      <sz val="16"/>
      <name val="Geneva"/>
      <family val="2"/>
    </font>
    <font>
      <i/>
      <sz val="10"/>
      <name val="Times"/>
      <family val="1"/>
    </font>
    <font>
      <sz val="12"/>
      <color theme="1"/>
      <name val="Calibri"/>
      <family val="2"/>
      <scheme val="minor"/>
    </font>
    <font>
      <b/>
      <sz val="10"/>
      <color rgb="FFFF0000"/>
      <name val="Geneva"/>
      <family val="2"/>
    </font>
    <font>
      <sz val="12"/>
      <name val="Calibri"/>
      <family val="2"/>
      <scheme val="minor"/>
    </font>
    <font>
      <sz val="10"/>
      <color rgb="FFFF0000"/>
      <name val="Times"/>
      <family val="1"/>
    </font>
    <font>
      <i/>
      <sz val="12"/>
      <name val="Calibri"/>
      <family val="2"/>
      <scheme val="minor"/>
    </font>
    <font>
      <sz val="10"/>
      <name val="Calibri"/>
      <family val="2"/>
      <scheme val="minor"/>
    </font>
    <font>
      <i/>
      <sz val="10"/>
      <name val="Calibri"/>
      <family val="2"/>
      <scheme val="minor"/>
    </font>
    <font>
      <b/>
      <sz val="9"/>
      <color rgb="FF000000"/>
      <name val="Geneva"/>
      <family val="2"/>
    </font>
    <font>
      <sz val="9"/>
      <color rgb="FF000000"/>
      <name val="Geneva"/>
      <family val="2"/>
    </font>
    <font>
      <b/>
      <u/>
      <sz val="10"/>
      <color theme="11"/>
      <name val="Geneva"/>
      <family val="2"/>
    </font>
    <font>
      <sz val="12"/>
      <name val="Geneva"/>
      <family val="2"/>
    </font>
    <font>
      <sz val="10"/>
      <color theme="1"/>
      <name val="Times"/>
      <family val="1"/>
    </font>
    <font>
      <b/>
      <i/>
      <sz val="10"/>
      <name val="Times"/>
      <family val="1"/>
    </font>
    <font>
      <sz val="10"/>
      <name val="Times Roman"/>
    </font>
    <font>
      <b/>
      <sz val="10"/>
      <name val="Times Roman"/>
    </font>
    <font>
      <sz val="10"/>
      <color rgb="FFFF0000"/>
      <name val="Times Roman"/>
    </font>
    <font>
      <b/>
      <sz val="14"/>
      <name val="Geneva"/>
      <family val="2"/>
    </font>
  </fonts>
  <fills count="10">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theme="0" tint="-0.14999847407452621"/>
      </patternFill>
    </fill>
    <fill>
      <patternFill patternType="solid">
        <fgColor rgb="FF00B0F0"/>
        <bgColor indexed="64"/>
      </patternFill>
    </fill>
    <fill>
      <patternFill patternType="solid">
        <fgColor theme="2"/>
        <bgColor indexed="64"/>
      </patternFill>
    </fill>
    <fill>
      <patternFill patternType="solid">
        <fgColor rgb="FF92D050"/>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top style="thin">
        <color auto="1"/>
      </top>
      <bottom style="medium">
        <color auto="1"/>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auto="1"/>
      </left>
      <right style="thin">
        <color auto="1"/>
      </right>
      <top style="thin">
        <color auto="1"/>
      </top>
      <bottom style="thin">
        <color theme="1"/>
      </bottom>
      <diagonal/>
    </border>
    <border>
      <left style="thin">
        <color auto="1"/>
      </left>
      <right/>
      <top/>
      <bottom/>
      <diagonal/>
    </border>
    <border>
      <left/>
      <right style="thin">
        <color indexed="64"/>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indexed="64"/>
      </top>
      <bottom/>
      <diagonal/>
    </border>
  </borders>
  <cellStyleXfs count="11">
    <xf numFmtId="0" fontId="0" fillId="0" borderId="0"/>
    <xf numFmtId="43"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alignment vertical="top"/>
      <protection locked="0"/>
    </xf>
    <xf numFmtId="9" fontId="5"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cellStyleXfs>
  <cellXfs count="255">
    <xf numFmtId="0" fontId="0" fillId="0" borderId="0" xfId="0"/>
    <xf numFmtId="0" fontId="6" fillId="0" borderId="0" xfId="0" applyFont="1"/>
    <xf numFmtId="0" fontId="7" fillId="0" borderId="0" xfId="0" applyFont="1"/>
    <xf numFmtId="0" fontId="7" fillId="0" borderId="1" xfId="0" applyFont="1" applyBorder="1"/>
    <xf numFmtId="0" fontId="8" fillId="0" borderId="0" xfId="0" applyFont="1"/>
    <xf numFmtId="44" fontId="7" fillId="0" borderId="1" xfId="2" applyFont="1" applyBorder="1"/>
    <xf numFmtId="44" fontId="7" fillId="0" borderId="0" xfId="2" applyFont="1" applyBorder="1"/>
    <xf numFmtId="164" fontId="7" fillId="0" borderId="1" xfId="2" applyNumberFormat="1" applyFont="1" applyBorder="1"/>
    <xf numFmtId="0" fontId="10" fillId="0" borderId="0" xfId="0" applyFont="1"/>
    <xf numFmtId="0" fontId="7" fillId="0" borderId="3" xfId="0" applyFont="1" applyBorder="1"/>
    <xf numFmtId="0" fontId="0" fillId="0" borderId="0" xfId="0" applyAlignment="1">
      <alignment horizontal="center"/>
    </xf>
    <xf numFmtId="10" fontId="0" fillId="0" borderId="1" xfId="0" applyNumberFormat="1" applyBorder="1" applyAlignment="1">
      <alignment horizontal="center"/>
    </xf>
    <xf numFmtId="0" fontId="0" fillId="0" borderId="4" xfId="0" applyBorder="1" applyAlignment="1">
      <alignment horizontal="center"/>
    </xf>
    <xf numFmtId="0" fontId="0" fillId="0" borderId="5" xfId="0" applyBorder="1" applyAlignment="1">
      <alignment horizontal="left"/>
    </xf>
    <xf numFmtId="0" fontId="0" fillId="0" borderId="0" xfId="0" applyNumberFormat="1" applyAlignment="1">
      <alignment horizontal="center"/>
    </xf>
    <xf numFmtId="0" fontId="0" fillId="0" borderId="1" xfId="0" applyBorder="1" applyAlignment="1">
      <alignment horizontal="center"/>
    </xf>
    <xf numFmtId="0" fontId="0" fillId="0" borderId="5" xfId="0" applyBorder="1" applyAlignment="1">
      <alignment horizontal="center"/>
    </xf>
    <xf numFmtId="2" fontId="9" fillId="0" borderId="1" xfId="0" applyNumberFormat="1" applyFont="1" applyBorder="1" applyAlignment="1">
      <alignment horizontal="center"/>
    </xf>
    <xf numFmtId="2" fontId="0" fillId="0" borderId="1" xfId="0" applyNumberFormat="1" applyBorder="1" applyAlignment="1">
      <alignment horizontal="center"/>
    </xf>
    <xf numFmtId="2" fontId="9" fillId="0" borderId="1" xfId="0" applyNumberFormat="1" applyFont="1" applyFill="1" applyBorder="1" applyAlignment="1">
      <alignment horizontal="center"/>
    </xf>
    <xf numFmtId="2" fontId="2" fillId="0" borderId="1" xfId="0" applyNumberFormat="1" applyFont="1" applyBorder="1" applyAlignment="1">
      <alignment horizontal="center"/>
    </xf>
    <xf numFmtId="0" fontId="5" fillId="0" borderId="1" xfId="0" applyFont="1" applyBorder="1" applyAlignment="1">
      <alignment horizontal="center"/>
    </xf>
    <xf numFmtId="2" fontId="5" fillId="0" borderId="1" xfId="0" applyNumberFormat="1" applyFont="1" applyBorder="1" applyAlignment="1">
      <alignment horizontal="center"/>
    </xf>
    <xf numFmtId="0" fontId="5" fillId="0" borderId="1" xfId="0" applyFont="1" applyBorder="1" applyAlignment="1">
      <alignment horizontal="left"/>
    </xf>
    <xf numFmtId="0" fontId="0" fillId="0" borderId="0" xfId="0" applyBorder="1" applyAlignment="1">
      <alignment horizontal="center"/>
    </xf>
    <xf numFmtId="10" fontId="0" fillId="0" borderId="0" xfId="0" applyNumberFormat="1"/>
    <xf numFmtId="0" fontId="0" fillId="0" borderId="6" xfId="0" applyBorder="1" applyAlignment="1">
      <alignment horizontal="center"/>
    </xf>
    <xf numFmtId="0" fontId="0" fillId="0" borderId="2" xfId="0" applyBorder="1" applyAlignment="1">
      <alignment horizontal="center"/>
    </xf>
    <xf numFmtId="2" fontId="0" fillId="0" borderId="6" xfId="0" applyNumberFormat="1" applyBorder="1" applyAlignment="1">
      <alignment horizontal="center"/>
    </xf>
    <xf numFmtId="0" fontId="0" fillId="0" borderId="0" xfId="0" applyAlignment="1">
      <alignment horizontal="left"/>
    </xf>
    <xf numFmtId="10" fontId="8" fillId="0" borderId="0" xfId="0" applyNumberFormat="1" applyFont="1"/>
    <xf numFmtId="0" fontId="8" fillId="0" borderId="1" xfId="0" applyFont="1" applyBorder="1"/>
    <xf numFmtId="10" fontId="0" fillId="0" borderId="4" xfId="0" applyNumberFormat="1" applyBorder="1" applyAlignment="1">
      <alignment horizontal="center"/>
    </xf>
    <xf numFmtId="10" fontId="0" fillId="0" borderId="7" xfId="0" applyNumberFormat="1" applyBorder="1" applyAlignment="1">
      <alignment horizontal="center"/>
    </xf>
    <xf numFmtId="10" fontId="0" fillId="0" borderId="0" xfId="0" applyNumberFormat="1" applyBorder="1" applyAlignment="1">
      <alignment horizontal="center"/>
    </xf>
    <xf numFmtId="10" fontId="4" fillId="0" borderId="1" xfId="0" applyNumberFormat="1" applyFont="1" applyBorder="1" applyAlignment="1">
      <alignment horizontal="center"/>
    </xf>
    <xf numFmtId="10" fontId="0" fillId="0" borderId="0" xfId="4" applyNumberFormat="1" applyFont="1"/>
    <xf numFmtId="2" fontId="0" fillId="0" borderId="1" xfId="0" applyNumberFormat="1" applyFont="1" applyBorder="1" applyAlignment="1">
      <alignment horizontal="center"/>
    </xf>
    <xf numFmtId="0" fontId="0" fillId="0" borderId="0" xfId="0" applyBorder="1" applyAlignment="1">
      <alignment horizontal="left"/>
    </xf>
    <xf numFmtId="0" fontId="19" fillId="0" borderId="0" xfId="0" applyFont="1" applyAlignment="1">
      <alignment horizontal="left"/>
    </xf>
    <xf numFmtId="15" fontId="0" fillId="0" borderId="0" xfId="0" applyNumberFormat="1" applyAlignment="1">
      <alignment horizontal="center"/>
    </xf>
    <xf numFmtId="2" fontId="20" fillId="0" borderId="1" xfId="0" applyNumberFormat="1" applyFont="1" applyBorder="1" applyAlignment="1">
      <alignment horizontal="center"/>
    </xf>
    <xf numFmtId="0" fontId="20" fillId="0" borderId="1" xfId="0" applyFont="1" applyBorder="1" applyAlignment="1">
      <alignment horizontal="center"/>
    </xf>
    <xf numFmtId="0" fontId="20" fillId="0" borderId="1" xfId="0" applyFont="1" applyFill="1" applyBorder="1" applyAlignment="1">
      <alignment horizontal="center"/>
    </xf>
    <xf numFmtId="0" fontId="0" fillId="0" borderId="0" xfId="0" applyAlignment="1">
      <alignment horizontal="center" wrapText="1"/>
    </xf>
    <xf numFmtId="0" fontId="0" fillId="0" borderId="4" xfId="0" applyNumberFormat="1" applyBorder="1" applyAlignment="1">
      <alignment horizontal="center"/>
    </xf>
    <xf numFmtId="10" fontId="0" fillId="0" borderId="5" xfId="0" applyNumberFormat="1" applyBorder="1" applyAlignment="1">
      <alignment horizontal="center"/>
    </xf>
    <xf numFmtId="10" fontId="0" fillId="0" borderId="8" xfId="0" applyNumberFormat="1" applyBorder="1" applyAlignment="1">
      <alignment horizontal="center"/>
    </xf>
    <xf numFmtId="10" fontId="0" fillId="0" borderId="9" xfId="0" applyNumberFormat="1" applyBorder="1" applyAlignment="1">
      <alignment horizontal="center"/>
    </xf>
    <xf numFmtId="10" fontId="0" fillId="0" borderId="1" xfId="4" applyNumberFormat="1" applyFont="1" applyBorder="1" applyAlignment="1">
      <alignment horizontal="center"/>
    </xf>
    <xf numFmtId="0" fontId="7" fillId="0" borderId="0" xfId="0" applyFont="1" applyAlignment="1">
      <alignment horizontal="center"/>
    </xf>
    <xf numFmtId="0" fontId="8" fillId="0" borderId="0" xfId="0" applyFont="1" applyBorder="1"/>
    <xf numFmtId="0" fontId="15" fillId="0" borderId="0" xfId="0" applyFont="1"/>
    <xf numFmtId="0" fontId="9" fillId="0" borderId="0" xfId="0" applyFont="1"/>
    <xf numFmtId="0" fontId="17" fillId="0" borderId="0" xfId="0" applyFont="1"/>
    <xf numFmtId="10" fontId="7" fillId="0" borderId="0" xfId="0" applyNumberFormat="1" applyFont="1" applyAlignment="1">
      <alignment horizontal="center"/>
    </xf>
    <xf numFmtId="0" fontId="7" fillId="0" borderId="0" xfId="0" applyFont="1" applyBorder="1" applyAlignment="1">
      <alignment horizontal="center"/>
    </xf>
    <xf numFmtId="0" fontId="5" fillId="0" borderId="0" xfId="0" applyFont="1"/>
    <xf numFmtId="0" fontId="0" fillId="0" borderId="0" xfId="0" applyFont="1"/>
    <xf numFmtId="2" fontId="0" fillId="0" borderId="0" xfId="0" applyNumberFormat="1" applyAlignment="1">
      <alignment horizontal="center"/>
    </xf>
    <xf numFmtId="0" fontId="7" fillId="0" borderId="6" xfId="0" applyFont="1" applyBorder="1"/>
    <xf numFmtId="0" fontId="0" fillId="0" borderId="10" xfId="0" applyBorder="1" applyAlignment="1">
      <alignment horizontal="center"/>
    </xf>
    <xf numFmtId="0" fontId="11" fillId="0" borderId="0" xfId="3" applyAlignment="1" applyProtection="1"/>
    <xf numFmtId="0" fontId="10" fillId="0" borderId="11" xfId="0" applyFont="1" applyBorder="1" applyAlignment="1">
      <alignment horizontal="centerContinuous"/>
    </xf>
    <xf numFmtId="0" fontId="10" fillId="0" borderId="12" xfId="0" applyFont="1" applyBorder="1" applyAlignment="1">
      <alignment horizontal="centerContinuous"/>
    </xf>
    <xf numFmtId="0" fontId="10" fillId="0" borderId="13" xfId="0" applyFont="1" applyBorder="1" applyAlignment="1">
      <alignment horizontal="centerContinuous"/>
    </xf>
    <xf numFmtId="0" fontId="22" fillId="0" borderId="1" xfId="0" applyFont="1" applyBorder="1" applyAlignment="1">
      <alignment horizontal="center"/>
    </xf>
    <xf numFmtId="10" fontId="20" fillId="0" borderId="1" xfId="0" applyNumberFormat="1" applyFont="1" applyBorder="1" applyAlignment="1">
      <alignment horizontal="center"/>
    </xf>
    <xf numFmtId="0" fontId="20" fillId="0" borderId="0" xfId="0" applyFont="1" applyBorder="1" applyAlignment="1">
      <alignment horizontal="center"/>
    </xf>
    <xf numFmtId="10" fontId="20" fillId="0" borderId="0" xfId="0" applyNumberFormat="1" applyFont="1" applyBorder="1" applyAlignment="1">
      <alignment horizontal="center"/>
    </xf>
    <xf numFmtId="0" fontId="5" fillId="0" borderId="0" xfId="0" applyFont="1" applyBorder="1" applyAlignment="1">
      <alignment horizontal="center"/>
    </xf>
    <xf numFmtId="17" fontId="0" fillId="0" borderId="0" xfId="0" applyNumberFormat="1"/>
    <xf numFmtId="0" fontId="3" fillId="0" borderId="0" xfId="0" applyFont="1" applyFill="1" applyBorder="1" applyAlignment="1">
      <alignment horizontal="left"/>
    </xf>
    <xf numFmtId="0" fontId="4" fillId="0" borderId="0" xfId="0" applyFont="1" applyAlignment="1">
      <alignment horizontal="left"/>
    </xf>
    <xf numFmtId="0" fontId="0" fillId="2" borderId="0" xfId="0" applyFill="1" applyAlignment="1">
      <alignment horizontal="center"/>
    </xf>
    <xf numFmtId="2" fontId="0" fillId="3" borderId="0" xfId="0" applyNumberFormat="1" applyFill="1" applyAlignment="1">
      <alignment horizontal="center"/>
    </xf>
    <xf numFmtId="0" fontId="0" fillId="3" borderId="0" xfId="0" applyFill="1" applyAlignment="1">
      <alignment horizontal="center"/>
    </xf>
    <xf numFmtId="0" fontId="0" fillId="3" borderId="0" xfId="0" applyFill="1"/>
    <xf numFmtId="0" fontId="0" fillId="2" borderId="2" xfId="0" applyFill="1" applyBorder="1" applyAlignment="1">
      <alignment horizontal="center"/>
    </xf>
    <xf numFmtId="10" fontId="23" fillId="0" borderId="1" xfId="0" applyNumberFormat="1" applyFont="1" applyBorder="1" applyAlignment="1">
      <alignment horizontal="center" vertical="center"/>
    </xf>
    <xf numFmtId="10" fontId="23" fillId="0" borderId="1" xfId="4" applyNumberFormat="1" applyFont="1" applyBorder="1" applyAlignment="1">
      <alignment horizontal="center" vertical="center"/>
    </xf>
    <xf numFmtId="10" fontId="23" fillId="0" borderId="1" xfId="0" applyNumberFormat="1" applyFont="1" applyFill="1" applyBorder="1" applyAlignment="1">
      <alignment horizontal="center" vertical="center"/>
    </xf>
    <xf numFmtId="10" fontId="23" fillId="0" borderId="1" xfId="0" applyNumberFormat="1" applyFont="1" applyBorder="1" applyAlignment="1">
      <alignment horizontal="center"/>
    </xf>
    <xf numFmtId="10" fontId="23" fillId="0" borderId="1" xfId="4" applyNumberFormat="1" applyFont="1" applyBorder="1" applyAlignment="1">
      <alignment horizontal="center"/>
    </xf>
    <xf numFmtId="0" fontId="3" fillId="0" borderId="1" xfId="0" applyFont="1" applyBorder="1" applyAlignment="1">
      <alignment horizontal="center" wrapText="1"/>
    </xf>
    <xf numFmtId="0" fontId="3" fillId="0" borderId="0" xfId="0" applyFont="1" applyAlignment="1">
      <alignment horizontal="center" wrapText="1"/>
    </xf>
    <xf numFmtId="166" fontId="0" fillId="3" borderId="0" xfId="0" applyNumberFormat="1" applyFill="1" applyAlignment="1">
      <alignment horizontal="center"/>
    </xf>
    <xf numFmtId="0" fontId="0" fillId="0" borderId="0" xfId="0" applyFill="1"/>
    <xf numFmtId="2" fontId="7" fillId="0" borderId="3" xfId="0" applyNumberFormat="1" applyFont="1" applyBorder="1" applyAlignment="1">
      <alignment horizontal="center"/>
    </xf>
    <xf numFmtId="10" fontId="7" fillId="0" borderId="3" xfId="4" applyNumberFormat="1" applyFont="1" applyBorder="1" applyAlignment="1">
      <alignment horizontal="center"/>
    </xf>
    <xf numFmtId="2" fontId="7" fillId="0" borderId="1" xfId="0" applyNumberFormat="1"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8" fillId="0" borderId="0" xfId="0" applyFont="1" applyAlignment="1">
      <alignment horizontal="center"/>
    </xf>
    <xf numFmtId="44" fontId="7" fillId="0" borderId="1" xfId="2" applyFont="1" applyBorder="1" applyAlignment="1">
      <alignment horizontal="center"/>
    </xf>
    <xf numFmtId="44" fontId="7" fillId="0" borderId="6" xfId="2" applyFont="1" applyBorder="1" applyAlignment="1">
      <alignment horizontal="center"/>
    </xf>
    <xf numFmtId="44" fontId="7" fillId="0" borderId="0" xfId="2" applyFont="1" applyBorder="1" applyAlignment="1">
      <alignment horizontal="center"/>
    </xf>
    <xf numFmtId="0" fontId="19" fillId="4" borderId="0" xfId="0" applyFont="1" applyFill="1" applyAlignment="1">
      <alignment horizontal="left"/>
    </xf>
    <xf numFmtId="0" fontId="2" fillId="4" borderId="0" xfId="0" applyFont="1" applyFill="1" applyAlignment="1">
      <alignment horizontal="center"/>
    </xf>
    <xf numFmtId="0" fontId="0" fillId="4" borderId="0" xfId="0" applyFill="1" applyAlignment="1">
      <alignment horizontal="center"/>
    </xf>
    <xf numFmtId="15" fontId="0" fillId="4" borderId="0" xfId="0" applyNumberFormat="1" applyFill="1" applyAlignment="1">
      <alignment horizontal="center"/>
    </xf>
    <xf numFmtId="10" fontId="7" fillId="0" borderId="1" xfId="4" applyNumberFormat="1" applyFont="1" applyBorder="1" applyAlignment="1">
      <alignment horizontal="center"/>
    </xf>
    <xf numFmtId="0" fontId="8" fillId="0" borderId="1" xfId="0" applyFont="1" applyBorder="1" applyAlignment="1">
      <alignment horizontal="center"/>
    </xf>
    <xf numFmtId="164" fontId="7" fillId="0" borderId="1" xfId="0" applyNumberFormat="1" applyFont="1" applyBorder="1" applyAlignment="1">
      <alignment horizontal="center"/>
    </xf>
    <xf numFmtId="43" fontId="7" fillId="0" borderId="1" xfId="1" applyNumberFormat="1" applyFont="1" applyBorder="1" applyAlignment="1">
      <alignment horizontal="center"/>
    </xf>
    <xf numFmtId="0" fontId="23" fillId="0" borderId="0" xfId="0" applyFont="1" applyAlignment="1">
      <alignment horizontal="center"/>
    </xf>
    <xf numFmtId="0" fontId="0" fillId="3" borderId="1" xfId="0" applyFill="1" applyBorder="1" applyAlignment="1">
      <alignment horizontal="left"/>
    </xf>
    <xf numFmtId="0" fontId="0" fillId="3" borderId="1" xfId="0" applyFill="1" applyBorder="1" applyAlignment="1">
      <alignment horizontal="center"/>
    </xf>
    <xf numFmtId="2" fontId="0" fillId="3" borderId="1" xfId="0" applyNumberFormat="1" applyFill="1" applyBorder="1" applyAlignment="1">
      <alignment horizontal="center"/>
    </xf>
    <xf numFmtId="2" fontId="2" fillId="3" borderId="1" xfId="0" applyNumberFormat="1" applyFont="1" applyFill="1" applyBorder="1" applyAlignment="1">
      <alignment horizontal="center"/>
    </xf>
    <xf numFmtId="0" fontId="19" fillId="3" borderId="0" xfId="0" applyFont="1" applyFill="1" applyAlignment="1">
      <alignment horizontal="left"/>
    </xf>
    <xf numFmtId="15" fontId="0" fillId="3" borderId="0" xfId="0" applyNumberFormat="1" applyFill="1" applyAlignment="1">
      <alignment horizontal="center"/>
    </xf>
    <xf numFmtId="0" fontId="0" fillId="0" borderId="1" xfId="0" applyFill="1" applyBorder="1" applyAlignment="1">
      <alignment horizontal="center"/>
    </xf>
    <xf numFmtId="2" fontId="5" fillId="0" borderId="1" xfId="0" applyNumberFormat="1" applyFont="1" applyFill="1" applyBorder="1" applyAlignment="1">
      <alignment horizontal="center"/>
    </xf>
    <xf numFmtId="2" fontId="20" fillId="0" borderId="1" xfId="0" applyNumberFormat="1" applyFont="1" applyFill="1" applyBorder="1" applyAlignment="1">
      <alignment horizontal="center"/>
    </xf>
    <xf numFmtId="2" fontId="0" fillId="0" borderId="1" xfId="0" applyNumberFormat="1" applyFont="1" applyFill="1" applyBorder="1" applyAlignment="1">
      <alignment horizontal="center"/>
    </xf>
    <xf numFmtId="2" fontId="2" fillId="0" borderId="1" xfId="0" applyNumberFormat="1" applyFont="1" applyFill="1" applyBorder="1" applyAlignment="1">
      <alignment horizontal="center"/>
    </xf>
    <xf numFmtId="10" fontId="4" fillId="0" borderId="1" xfId="0" applyNumberFormat="1" applyFont="1" applyFill="1" applyBorder="1" applyAlignment="1">
      <alignment horizontal="center"/>
    </xf>
    <xf numFmtId="10" fontId="13" fillId="0" borderId="1" xfId="4" applyNumberFormat="1" applyFont="1" applyFill="1" applyBorder="1" applyAlignment="1">
      <alignment horizontal="center"/>
    </xf>
    <xf numFmtId="10" fontId="19" fillId="0" borderId="0" xfId="4" applyNumberFormat="1" applyFont="1" applyFill="1" applyBorder="1" applyAlignment="1" applyProtection="1"/>
    <xf numFmtId="2" fontId="0" fillId="0" borderId="0" xfId="0" applyNumberFormat="1" applyFill="1" applyAlignment="1">
      <alignment horizontal="center"/>
    </xf>
    <xf numFmtId="0" fontId="0" fillId="0" borderId="0" xfId="0" applyFill="1" applyAlignment="1">
      <alignment horizontal="center"/>
    </xf>
    <xf numFmtId="2" fontId="0" fillId="0" borderId="0" xfId="0" applyNumberFormat="1" applyFill="1" applyBorder="1" applyAlignment="1">
      <alignment horizontal="center"/>
    </xf>
    <xf numFmtId="1" fontId="0" fillId="0" borderId="1" xfId="0" applyNumberFormat="1" applyBorder="1" applyAlignment="1">
      <alignment horizontal="center"/>
    </xf>
    <xf numFmtId="0" fontId="0" fillId="0" borderId="1" xfId="0" applyFont="1" applyFill="1" applyBorder="1" applyAlignment="1">
      <alignment horizontal="center"/>
    </xf>
    <xf numFmtId="0" fontId="0" fillId="2" borderId="1" xfId="0" applyFill="1" applyBorder="1"/>
    <xf numFmtId="2" fontId="0" fillId="2" borderId="1" xfId="0" applyNumberFormat="1" applyFill="1" applyBorder="1"/>
    <xf numFmtId="0" fontId="23" fillId="0" borderId="7" xfId="0" applyFont="1" applyBorder="1" applyAlignment="1">
      <alignment horizontal="center" vertical="center"/>
    </xf>
    <xf numFmtId="0" fontId="23" fillId="0" borderId="7" xfId="0" applyFont="1" applyFill="1" applyBorder="1" applyAlignment="1">
      <alignment horizontal="center" vertical="center"/>
    </xf>
    <xf numFmtId="0" fontId="23" fillId="0" borderId="7" xfId="0" applyNumberFormat="1" applyFont="1" applyBorder="1" applyAlignment="1">
      <alignment horizontal="center" vertical="center"/>
    </xf>
    <xf numFmtId="1" fontId="23" fillId="0" borderId="7" xfId="0" applyNumberFormat="1" applyFont="1" applyBorder="1" applyAlignment="1">
      <alignment horizontal="center" vertical="center"/>
    </xf>
    <xf numFmtId="1" fontId="23" fillId="0" borderId="7" xfId="0" applyNumberFormat="1" applyFont="1" applyBorder="1" applyAlignment="1">
      <alignment horizontal="center"/>
    </xf>
    <xf numFmtId="0" fontId="23" fillId="0" borderId="7" xfId="0" applyFont="1" applyBorder="1" applyAlignment="1">
      <alignment horizontal="center"/>
    </xf>
    <xf numFmtId="10" fontId="23" fillId="0" borderId="5" xfId="0" applyNumberFormat="1" applyFont="1" applyBorder="1" applyAlignment="1">
      <alignment horizontal="center" vertical="center"/>
    </xf>
    <xf numFmtId="10" fontId="23" fillId="0" borderId="5" xfId="0" applyNumberFormat="1" applyFont="1" applyBorder="1" applyAlignment="1">
      <alignment horizontal="center"/>
    </xf>
    <xf numFmtId="10" fontId="23" fillId="0" borderId="5" xfId="0" applyNumberFormat="1" applyFont="1" applyFill="1" applyBorder="1" applyAlignment="1">
      <alignment horizontal="center" vertical="center"/>
    </xf>
    <xf numFmtId="0" fontId="24" fillId="0" borderId="14" xfId="0" applyFont="1" applyBorder="1" applyAlignment="1">
      <alignment horizontal="center" vertical="center"/>
    </xf>
    <xf numFmtId="0" fontId="24" fillId="0" borderId="3" xfId="0" applyFont="1" applyBorder="1" applyAlignment="1">
      <alignment horizontal="center" vertical="center"/>
    </xf>
    <xf numFmtId="10" fontId="24" fillId="0" borderId="15" xfId="0" applyNumberFormat="1" applyFont="1" applyBorder="1" applyAlignment="1">
      <alignment horizontal="center" vertical="center"/>
    </xf>
    <xf numFmtId="0" fontId="23" fillId="0" borderId="16" xfId="0" applyFont="1" applyBorder="1" applyAlignment="1">
      <alignment horizontal="center"/>
    </xf>
    <xf numFmtId="10" fontId="23" fillId="0" borderId="6" xfId="0" applyNumberFormat="1" applyFont="1" applyBorder="1" applyAlignment="1">
      <alignment horizontal="center"/>
    </xf>
    <xf numFmtId="10" fontId="23" fillId="0" borderId="10" xfId="0" applyNumberFormat="1" applyFont="1" applyBorder="1" applyAlignment="1">
      <alignment horizontal="center"/>
    </xf>
    <xf numFmtId="10" fontId="23" fillId="0" borderId="6" xfId="4" applyNumberFormat="1" applyFont="1" applyBorder="1" applyAlignment="1">
      <alignment horizontal="center"/>
    </xf>
    <xf numFmtId="0" fontId="0" fillId="0" borderId="1" xfId="0" applyBorder="1"/>
    <xf numFmtId="0" fontId="4" fillId="0" borderId="1" xfId="0" applyFont="1" applyBorder="1" applyAlignment="1">
      <alignment horizontal="center"/>
    </xf>
    <xf numFmtId="0" fontId="7" fillId="0" borderId="0" xfId="0" applyFont="1" applyBorder="1"/>
    <xf numFmtId="0" fontId="18" fillId="5" borderId="20" xfId="0" applyFont="1" applyFill="1" applyBorder="1" applyAlignment="1">
      <alignment horizontal="center"/>
    </xf>
    <xf numFmtId="10" fontId="18" fillId="5" borderId="1" xfId="0" applyNumberFormat="1" applyFont="1" applyFill="1" applyBorder="1" applyAlignment="1">
      <alignment horizontal="center"/>
    </xf>
    <xf numFmtId="10" fontId="18" fillId="5" borderId="20" xfId="0" applyNumberFormat="1" applyFont="1" applyFill="1" applyBorder="1" applyAlignment="1">
      <alignment horizontal="center"/>
    </xf>
    <xf numFmtId="44" fontId="18" fillId="5" borderId="1" xfId="2" applyNumberFormat="1" applyFont="1" applyFill="1" applyBorder="1" applyAlignment="1">
      <alignment horizontal="center"/>
    </xf>
    <xf numFmtId="0" fontId="18" fillId="0" borderId="20" xfId="0" applyFont="1" applyBorder="1" applyAlignment="1">
      <alignment horizontal="center"/>
    </xf>
    <xf numFmtId="10" fontId="18" fillId="0" borderId="1" xfId="0" applyNumberFormat="1" applyFont="1" applyBorder="1" applyAlignment="1">
      <alignment horizontal="center"/>
    </xf>
    <xf numFmtId="10" fontId="18" fillId="0" borderId="20" xfId="0" applyNumberFormat="1" applyFont="1" applyBorder="1" applyAlignment="1">
      <alignment horizontal="center"/>
    </xf>
    <xf numFmtId="44" fontId="20" fillId="0" borderId="1" xfId="2" applyFont="1" applyBorder="1" applyAlignment="1">
      <alignment horizontal="center"/>
    </xf>
    <xf numFmtId="10" fontId="0" fillId="0" borderId="0" xfId="4" applyNumberFormat="1" applyFont="1" applyAlignment="1">
      <alignment horizontal="center"/>
    </xf>
    <xf numFmtId="0" fontId="14" fillId="0" borderId="0" xfId="0" applyFont="1" applyAlignment="1">
      <alignment horizontal="center"/>
    </xf>
    <xf numFmtId="0" fontId="0" fillId="0" borderId="0" xfId="0" applyAlignment="1">
      <alignment horizontal="center"/>
    </xf>
    <xf numFmtId="10" fontId="2" fillId="0" borderId="1" xfId="0" applyNumberFormat="1" applyFont="1" applyFill="1" applyBorder="1" applyAlignment="1">
      <alignment horizontal="center"/>
    </xf>
    <xf numFmtId="0" fontId="2" fillId="0" borderId="1" xfId="0" applyFont="1" applyFill="1" applyBorder="1" applyAlignment="1">
      <alignment horizontal="center"/>
    </xf>
    <xf numFmtId="0" fontId="0" fillId="6" borderId="1" xfId="0" applyFont="1" applyFill="1" applyBorder="1" applyAlignment="1">
      <alignment horizontal="left"/>
    </xf>
    <xf numFmtId="2" fontId="2" fillId="6" borderId="1" xfId="0" applyNumberFormat="1" applyFont="1" applyFill="1" applyBorder="1" applyAlignment="1">
      <alignment horizontal="center"/>
    </xf>
    <xf numFmtId="10" fontId="2" fillId="6" borderId="1" xfId="0" applyNumberFormat="1" applyFont="1" applyFill="1" applyBorder="1" applyAlignment="1">
      <alignment horizontal="center"/>
    </xf>
    <xf numFmtId="10" fontId="4" fillId="6" borderId="1" xfId="0" applyNumberFormat="1" applyFont="1" applyFill="1" applyBorder="1" applyAlignment="1">
      <alignment horizontal="center"/>
    </xf>
    <xf numFmtId="0" fontId="2" fillId="6" borderId="1" xfId="0" applyFont="1" applyFill="1" applyBorder="1" applyAlignment="1">
      <alignment horizontal="center"/>
    </xf>
    <xf numFmtId="10" fontId="13" fillId="6" borderId="1" xfId="4" applyNumberFormat="1" applyFont="1" applyFill="1" applyBorder="1" applyAlignment="1">
      <alignment horizontal="center"/>
    </xf>
    <xf numFmtId="10" fontId="2" fillId="6" borderId="0" xfId="0" applyNumberFormat="1" applyFont="1" applyFill="1" applyBorder="1" applyAlignment="1">
      <alignment horizontal="center"/>
    </xf>
    <xf numFmtId="2" fontId="2" fillId="6" borderId="0" xfId="0" applyNumberFormat="1" applyFont="1" applyFill="1" applyBorder="1" applyAlignment="1">
      <alignment horizontal="center"/>
    </xf>
    <xf numFmtId="10" fontId="0" fillId="7" borderId="2" xfId="0" applyNumberFormat="1" applyFill="1" applyBorder="1"/>
    <xf numFmtId="0" fontId="14" fillId="0" borderId="0" xfId="0" applyFon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Border="1"/>
    <xf numFmtId="0" fontId="1" fillId="0" borderId="6" xfId="0" applyFont="1" applyBorder="1" applyAlignment="1">
      <alignment horizontal="center"/>
    </xf>
    <xf numFmtId="10" fontId="1" fillId="0" borderId="1" xfId="0" applyNumberFormat="1" applyFont="1" applyBorder="1" applyAlignment="1">
      <alignment horizontal="center"/>
    </xf>
    <xf numFmtId="0" fontId="1" fillId="5" borderId="6" xfId="0" applyFont="1" applyFill="1" applyBorder="1" applyAlignment="1">
      <alignment horizontal="center"/>
    </xf>
    <xf numFmtId="10" fontId="1" fillId="5" borderId="1" xfId="0" applyNumberFormat="1" applyFont="1" applyFill="1" applyBorder="1" applyAlignment="1">
      <alignment horizontal="center"/>
    </xf>
    <xf numFmtId="0" fontId="0" fillId="0" borderId="0" xfId="0" applyAlignment="1">
      <alignment horizontal="center"/>
    </xf>
    <xf numFmtId="2" fontId="20" fillId="8" borderId="1" xfId="0" applyNumberFormat="1" applyFont="1" applyFill="1" applyBorder="1" applyAlignment="1">
      <alignment horizontal="center"/>
    </xf>
    <xf numFmtId="0" fontId="22" fillId="8" borderId="1" xfId="0" applyFont="1" applyFill="1" applyBorder="1" applyAlignment="1">
      <alignment horizontal="center"/>
    </xf>
    <xf numFmtId="10" fontId="5" fillId="0" borderId="1" xfId="4" applyNumberFormat="1" applyFont="1" applyBorder="1" applyAlignment="1">
      <alignment horizontal="center"/>
    </xf>
    <xf numFmtId="10" fontId="5" fillId="8" borderId="1" xfId="4" applyNumberFormat="1" applyFont="1" applyFill="1" applyBorder="1" applyAlignment="1">
      <alignment horizontal="center"/>
    </xf>
    <xf numFmtId="2" fontId="7" fillId="8" borderId="1" xfId="0" applyNumberFormat="1" applyFont="1" applyFill="1" applyBorder="1" applyAlignment="1">
      <alignment horizontal="center"/>
    </xf>
    <xf numFmtId="2" fontId="7" fillId="0" borderId="0" xfId="0" applyNumberFormat="1" applyFont="1" applyFill="1" applyBorder="1" applyAlignment="1">
      <alignment horizontal="center"/>
    </xf>
    <xf numFmtId="2" fontId="7" fillId="8" borderId="1" xfId="2" applyNumberFormat="1" applyFont="1" applyFill="1" applyBorder="1" applyAlignment="1">
      <alignment horizontal="center"/>
    </xf>
    <xf numFmtId="2" fontId="7" fillId="8" borderId="2" xfId="2" applyNumberFormat="1" applyFont="1" applyFill="1" applyBorder="1" applyAlignment="1">
      <alignment horizontal="center"/>
    </xf>
    <xf numFmtId="10" fontId="8" fillId="0" borderId="0" xfId="4" applyNumberFormat="1" applyFont="1" applyFill="1" applyBorder="1"/>
    <xf numFmtId="10" fontId="29" fillId="2" borderId="1" xfId="0" applyNumberFormat="1" applyFont="1" applyFill="1" applyBorder="1" applyAlignment="1">
      <alignment horizontal="center"/>
    </xf>
    <xf numFmtId="10" fontId="29" fillId="2" borderId="1" xfId="0" applyNumberFormat="1" applyFont="1" applyFill="1" applyBorder="1"/>
    <xf numFmtId="0" fontId="29" fillId="2" borderId="1" xfId="0" applyFont="1" applyFill="1" applyBorder="1"/>
    <xf numFmtId="0" fontId="16" fillId="0" borderId="0" xfId="0" applyFont="1" applyFill="1" applyBorder="1" applyAlignment="1">
      <alignment vertical="top" wrapText="1"/>
    </xf>
    <xf numFmtId="0" fontId="30" fillId="0" borderId="0" xfId="0" applyFont="1"/>
    <xf numFmtId="0" fontId="5" fillId="0" borderId="1" xfId="0" applyFont="1" applyBorder="1"/>
    <xf numFmtId="0" fontId="0" fillId="0" borderId="19" xfId="0" applyBorder="1"/>
    <xf numFmtId="0" fontId="3" fillId="0" borderId="0" xfId="0" applyFont="1" applyBorder="1"/>
    <xf numFmtId="0" fontId="3" fillId="0" borderId="23" xfId="0" applyFont="1" applyBorder="1"/>
    <xf numFmtId="0" fontId="5" fillId="0" borderId="24" xfId="0" applyFont="1" applyBorder="1"/>
    <xf numFmtId="9" fontId="5" fillId="2" borderId="25" xfId="0" applyNumberFormat="1" applyFont="1" applyFill="1" applyBorder="1"/>
    <xf numFmtId="0" fontId="5" fillId="0" borderId="26" xfId="0" applyFont="1" applyBorder="1"/>
    <xf numFmtId="0" fontId="5" fillId="0" borderId="27" xfId="0" applyFont="1" applyBorder="1"/>
    <xf numFmtId="9" fontId="5" fillId="2" borderId="28" xfId="0" applyNumberFormat="1" applyFont="1" applyFill="1" applyBorder="1"/>
    <xf numFmtId="10" fontId="8" fillId="8" borderId="5" xfId="4" applyNumberFormat="1" applyFont="1" applyFill="1" applyBorder="1"/>
    <xf numFmtId="0" fontId="17" fillId="7" borderId="5" xfId="0" applyFont="1" applyFill="1" applyBorder="1"/>
    <xf numFmtId="0" fontId="8" fillId="7" borderId="4" xfId="0" applyFont="1" applyFill="1" applyBorder="1"/>
    <xf numFmtId="0" fontId="17" fillId="7" borderId="4" xfId="0" applyFont="1" applyFill="1" applyBorder="1"/>
    <xf numFmtId="0" fontId="8" fillId="7" borderId="7" xfId="0" applyFont="1" applyFill="1" applyBorder="1"/>
    <xf numFmtId="0" fontId="17" fillId="0" borderId="3" xfId="0" applyFont="1" applyBorder="1" applyAlignment="1">
      <alignment horizontal="center"/>
    </xf>
    <xf numFmtId="0" fontId="22" fillId="0" borderId="3" xfId="0" applyFont="1" applyBorder="1" applyAlignment="1">
      <alignment horizontal="center"/>
    </xf>
    <xf numFmtId="10" fontId="8" fillId="0" borderId="0" xfId="0" applyNumberFormat="1" applyFont="1" applyFill="1" applyBorder="1" applyAlignment="1">
      <alignment horizontal="center"/>
    </xf>
    <xf numFmtId="0" fontId="23" fillId="0" borderId="1" xfId="0" applyFont="1" applyBorder="1"/>
    <xf numFmtId="10" fontId="23" fillId="2" borderId="1" xfId="0" applyNumberFormat="1" applyFont="1" applyFill="1" applyBorder="1"/>
    <xf numFmtId="10" fontId="0" fillId="0" borderId="0" xfId="0" applyNumberFormat="1" applyAlignment="1">
      <alignment horizontal="center"/>
    </xf>
    <xf numFmtId="10" fontId="29" fillId="8" borderId="1" xfId="4" applyNumberFormat="1" applyFont="1" applyFill="1" applyBorder="1"/>
    <xf numFmtId="0" fontId="31" fillId="0" borderId="5" xfId="0" applyFont="1" applyBorder="1"/>
    <xf numFmtId="0" fontId="32" fillId="0" borderId="7" xfId="0" applyFont="1" applyBorder="1"/>
    <xf numFmtId="0" fontId="7" fillId="2" borderId="3" xfId="0" applyFont="1" applyFill="1" applyBorder="1" applyAlignment="1">
      <alignment horizontal="center"/>
    </xf>
    <xf numFmtId="2" fontId="7" fillId="2" borderId="1" xfId="0" applyNumberFormat="1" applyFont="1" applyFill="1" applyBorder="1" applyAlignment="1">
      <alignment horizontal="center"/>
    </xf>
    <xf numFmtId="9" fontId="7" fillId="2" borderId="1" xfId="0" applyNumberFormat="1" applyFont="1" applyFill="1" applyBorder="1" applyAlignment="1">
      <alignment horizontal="center"/>
    </xf>
    <xf numFmtId="0" fontId="31" fillId="0" borderId="1" xfId="0" applyFont="1" applyFill="1" applyBorder="1"/>
    <xf numFmtId="0" fontId="34" fillId="0" borderId="0" xfId="0" applyFont="1"/>
    <xf numFmtId="8" fontId="5" fillId="0" borderId="1" xfId="0" applyNumberFormat="1" applyFont="1" applyBorder="1"/>
    <xf numFmtId="8" fontId="0" fillId="0" borderId="1" xfId="0" applyNumberFormat="1" applyBorder="1"/>
    <xf numFmtId="10" fontId="7" fillId="8" borderId="1" xfId="0" applyNumberFormat="1" applyFont="1" applyFill="1" applyBorder="1" applyAlignment="1">
      <alignment horizontal="center"/>
    </xf>
    <xf numFmtId="10" fontId="21" fillId="9" borderId="1" xfId="0" applyNumberFormat="1" applyFont="1" applyFill="1" applyBorder="1" applyAlignment="1">
      <alignment horizontal="center"/>
    </xf>
    <xf numFmtId="10" fontId="33" fillId="9" borderId="1" xfId="0" applyNumberFormat="1" applyFont="1" applyFill="1" applyBorder="1" applyAlignment="1">
      <alignment horizontal="center"/>
    </xf>
    <xf numFmtId="164" fontId="7" fillId="0" borderId="3" xfId="0" applyNumberFormat="1" applyFont="1" applyBorder="1"/>
    <xf numFmtId="164" fontId="17" fillId="0" borderId="3" xfId="0" applyNumberFormat="1" applyFont="1" applyBorder="1" applyAlignment="1">
      <alignment horizontal="center"/>
    </xf>
    <xf numFmtId="165" fontId="7" fillId="0" borderId="3" xfId="1" applyNumberFormat="1" applyFont="1" applyBorder="1" applyAlignment="1">
      <alignment horizontal="center"/>
    </xf>
    <xf numFmtId="0" fontId="22" fillId="0" borderId="3" xfId="0" applyFont="1" applyBorder="1" applyAlignment="1">
      <alignment horizontal="center"/>
    </xf>
    <xf numFmtId="0" fontId="3" fillId="0" borderId="3" xfId="0" applyFont="1" applyBorder="1" applyAlignment="1">
      <alignment horizontal="center"/>
    </xf>
    <xf numFmtId="0" fontId="16" fillId="7" borderId="8" xfId="0" applyFont="1" applyFill="1" applyBorder="1" applyAlignment="1">
      <alignment horizontal="center"/>
    </xf>
    <xf numFmtId="0" fontId="16" fillId="7" borderId="17" xfId="0" applyFont="1" applyFill="1" applyBorder="1" applyAlignment="1">
      <alignment horizontal="center"/>
    </xf>
    <xf numFmtId="0" fontId="16" fillId="7" borderId="18" xfId="0" applyFont="1" applyFill="1" applyBorder="1" applyAlignment="1">
      <alignment horizontal="center"/>
    </xf>
    <xf numFmtId="0" fontId="17" fillId="7" borderId="10" xfId="0" applyFont="1" applyFill="1" applyBorder="1" applyAlignment="1">
      <alignment horizontal="left" vertical="top" wrapText="1"/>
    </xf>
    <xf numFmtId="0" fontId="17" fillId="7" borderId="29" xfId="0" applyFont="1" applyFill="1" applyBorder="1" applyAlignment="1">
      <alignment horizontal="left" vertical="top" wrapText="1"/>
    </xf>
    <xf numFmtId="0" fontId="17" fillId="7" borderId="16" xfId="0" applyFont="1" applyFill="1" applyBorder="1" applyAlignment="1">
      <alignment horizontal="left" vertical="top" wrapText="1"/>
    </xf>
    <xf numFmtId="0" fontId="17" fillId="7" borderId="21"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22" xfId="0" applyFont="1" applyFill="1" applyBorder="1" applyAlignment="1">
      <alignment horizontal="left" vertical="top"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8" fillId="0" borderId="5" xfId="0" applyFont="1" applyBorder="1" applyAlignment="1">
      <alignment horizontal="center"/>
    </xf>
    <xf numFmtId="0" fontId="8" fillId="0" borderId="7" xfId="0" applyFont="1" applyBorder="1" applyAlignment="1">
      <alignment horizontal="center"/>
    </xf>
    <xf numFmtId="0" fontId="8" fillId="0" borderId="5" xfId="0" applyFont="1" applyFill="1" applyBorder="1" applyAlignment="1">
      <alignment horizontal="center"/>
    </xf>
    <xf numFmtId="0" fontId="8" fillId="0" borderId="7" xfId="0" applyFont="1" applyFill="1" applyBorder="1" applyAlignment="1">
      <alignment horizontal="center"/>
    </xf>
    <xf numFmtId="0" fontId="10" fillId="7" borderId="8" xfId="0" applyFont="1" applyFill="1" applyBorder="1" applyAlignment="1">
      <alignment horizontal="center"/>
    </xf>
    <xf numFmtId="0" fontId="10" fillId="7" borderId="17" xfId="0" applyFont="1" applyFill="1" applyBorder="1" applyAlignment="1">
      <alignment horizontal="center"/>
    </xf>
    <xf numFmtId="0" fontId="10" fillId="7" borderId="18" xfId="0" applyFont="1" applyFill="1" applyBorder="1" applyAlignment="1">
      <alignment horizontal="center"/>
    </xf>
    <xf numFmtId="0" fontId="0" fillId="7" borderId="8" xfId="0" applyFill="1" applyBorder="1" applyAlignment="1">
      <alignment horizontal="center"/>
    </xf>
    <xf numFmtId="0" fontId="0" fillId="7" borderId="17" xfId="0" applyFill="1" applyBorder="1" applyAlignment="1">
      <alignment horizontal="center"/>
    </xf>
    <xf numFmtId="0" fontId="0" fillId="7" borderId="18" xfId="0" applyFill="1" applyBorder="1" applyAlignment="1">
      <alignment horizontal="center"/>
    </xf>
    <xf numFmtId="0" fontId="0" fillId="0" borderId="0" xfId="0" applyAlignment="1">
      <alignment horizontal="center"/>
    </xf>
    <xf numFmtId="0" fontId="28" fillId="0" borderId="0" xfId="0" applyFont="1" applyAlignment="1">
      <alignment horizontal="center"/>
    </xf>
    <xf numFmtId="0" fontId="14" fillId="0" borderId="0" xfId="0" applyFont="1" applyAlignment="1">
      <alignment horizontal="center"/>
    </xf>
    <xf numFmtId="0" fontId="4" fillId="0" borderId="0" xfId="0" applyFont="1" applyAlignment="1">
      <alignment horizontal="left" wrapText="1"/>
    </xf>
  </cellXfs>
  <cellStyles count="11">
    <cellStyle name="Comma" xfId="1" builtinId="3"/>
    <cellStyle name="Currency" xfId="2" builtinId="4"/>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3" builtinId="8"/>
    <cellStyle name="Normal" xfId="0" builtinId="0"/>
    <cellStyle name="Percent" xfId="4" builtinId="5"/>
  </cellStyles>
  <dxfs count="15">
    <dxf>
      <font>
        <b val="0"/>
        <i val="0"/>
        <strike val="0"/>
        <condense val="0"/>
        <extend val="0"/>
        <outline val="0"/>
        <shadow val="0"/>
        <u val="none"/>
        <vertAlign val="baseline"/>
        <sz val="10"/>
        <color auto="1"/>
        <name val="Calibri"/>
        <scheme val="minor"/>
      </font>
      <numFmt numFmtId="14" formatCode="0.00%"/>
      <alignment horizontal="center" vertical="bottom" textRotation="0" wrapText="0"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14"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horizontal="center" vertical="bottom"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strike val="0"/>
        <condense val="0"/>
        <extend val="0"/>
        <outline val="0"/>
        <shadow val="0"/>
        <u val="none"/>
        <vertAlign val="baseline"/>
        <sz val="10"/>
        <color auto="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698500</xdr:colOff>
      <xdr:row>21</xdr:row>
      <xdr:rowOff>0</xdr:rowOff>
    </xdr:from>
    <xdr:to>
      <xdr:col>7</xdr:col>
      <xdr:colOff>876300</xdr:colOff>
      <xdr:row>23</xdr:row>
      <xdr:rowOff>12700</xdr:rowOff>
    </xdr:to>
    <xdr:sp macro="" textlink="">
      <xdr:nvSpPr>
        <xdr:cNvPr id="1680" name="Rectangle 1">
          <a:extLst>
            <a:ext uri="{FF2B5EF4-FFF2-40B4-BE49-F238E27FC236}">
              <a16:creationId xmlns:a16="http://schemas.microsoft.com/office/drawing/2014/main" id="{3C977FC5-F8BC-B941-AC5F-A533DCEFEEAE}"/>
            </a:ext>
          </a:extLst>
        </xdr:cNvPr>
        <xdr:cNvSpPr>
          <a:spLocks noChangeArrowheads="1"/>
        </xdr:cNvSpPr>
      </xdr:nvSpPr>
      <xdr:spPr bwMode="auto">
        <a:xfrm>
          <a:off x="12115800" y="4864100"/>
          <a:ext cx="177800" cy="406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txBody>
        <a:bodyPr rtlCol="0"/>
        <a:lstStyle/>
        <a:p>
          <a:pPr algn="ctr"/>
          <a:endParaRPr lang="en-US"/>
        </a:p>
      </xdr:txBody>
    </xdr:sp>
    <xdr:clientData/>
  </xdr:twoCellAnchor>
  <xdr:twoCellAnchor editAs="oneCell">
    <xdr:from>
      <xdr:col>10</xdr:col>
      <xdr:colOff>939800</xdr:colOff>
      <xdr:row>14</xdr:row>
      <xdr:rowOff>0</xdr:rowOff>
    </xdr:from>
    <xdr:to>
      <xdr:col>13</xdr:col>
      <xdr:colOff>711200</xdr:colOff>
      <xdr:row>28</xdr:row>
      <xdr:rowOff>106680</xdr:rowOff>
    </xdr:to>
    <xdr:pic>
      <xdr:nvPicPr>
        <xdr:cNvPr id="18123" name="Picture 1">
          <a:extLst>
            <a:ext uri="{FF2B5EF4-FFF2-40B4-BE49-F238E27FC236}">
              <a16:creationId xmlns:a16="http://schemas.microsoft.com/office/drawing/2014/main" id="{F5D125F5-52DE-644A-ACE0-8CC2A82CE7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57500" y="3708400"/>
          <a:ext cx="2628900" cy="2692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15</xdr:row>
      <xdr:rowOff>101600</xdr:rowOff>
    </xdr:from>
    <xdr:to>
      <xdr:col>6</xdr:col>
      <xdr:colOff>723900</xdr:colOff>
      <xdr:row>77</xdr:row>
      <xdr:rowOff>114300</xdr:rowOff>
    </xdr:to>
    <xdr:pic>
      <xdr:nvPicPr>
        <xdr:cNvPr id="2" name="Picture 1">
          <a:extLst>
            <a:ext uri="{FF2B5EF4-FFF2-40B4-BE49-F238E27FC236}">
              <a16:creationId xmlns:a16="http://schemas.microsoft.com/office/drawing/2014/main" id="{278E9168-6842-604D-9D22-999CA113AFFE}"/>
            </a:ext>
          </a:extLst>
        </xdr:cNvPr>
        <xdr:cNvPicPr>
          <a:picLocks noChangeAspect="1"/>
        </xdr:cNvPicPr>
      </xdr:nvPicPr>
      <xdr:blipFill>
        <a:blip xmlns:r="http://schemas.openxmlformats.org/officeDocument/2006/relationships" r:embed="rId1"/>
        <a:stretch>
          <a:fillRect/>
        </a:stretch>
      </xdr:blipFill>
      <xdr:spPr>
        <a:xfrm>
          <a:off x="63500" y="2819400"/>
          <a:ext cx="8293100" cy="110998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wath Damodaran" id="{4DFB6B62-2B7F-1C4E-A36B-B6ED6488607D}" userId="589fc2f8758a430e"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1" displayName="List1" ref="A1:I25" totalsRowShown="0" headerRowDxfId="14">
  <autoFilter ref="A1:I25" xr:uid="{00000000-0009-0000-0100-000001000000}"/>
  <tableColumns count="9">
    <tableColumn id="1" xr3:uid="{00000000-0010-0000-0000-000001000000}" name="Year"/>
    <tableColumn id="2" xr3:uid="{00000000-0010-0000-0000-000002000000}" name="Dividend Yield"/>
    <tableColumn id="3" xr3:uid="{00000000-0010-0000-0000-000003000000}" name="Buybacks/Index"/>
    <tableColumn id="4" xr3:uid="{00000000-0010-0000-0000-000004000000}" name="Gross Cash Yield"/>
    <tableColumn id="7" xr3:uid="{00000000-0010-0000-0000-000007000000}" name="Payout" dataDxfId="13"/>
    <tableColumn id="8" xr3:uid="{00000000-0010-0000-0000-000008000000}" name="Return on Equity" dataDxfId="12"/>
    <tableColumn id="9" xr3:uid="{00000000-0010-0000-0000-000009000000}" name="Net Profit Margin" dataDxfId="11"/>
    <tableColumn id="10" xr3:uid="{00000000-0010-0000-0000-00000A000000}" name="Column1" dataDxfId="10"/>
    <tableColumn id="5" xr3:uid="{7DF5D73E-55E3-8645-8627-1D880972964D}" name="Column2" dataDxfId="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00000000-000C-0000-FFFF-FFFF02000000}" name="Table168" displayName="Table168" ref="A1:E61" totalsRowShown="0" headerRowDxfId="8" headerRowBorderDxfId="7" tableBorderDxfId="6" totalsRowBorderDxfId="5">
  <autoFilter ref="A1:E61" xr:uid="{00000000-0009-0000-0100-0000A8000000}"/>
  <tableColumns count="5">
    <tableColumn id="1" xr3:uid="{00000000-0010-0000-0200-000001000000}" name="Year" dataDxfId="4"/>
    <tableColumn id="2" xr3:uid="{00000000-0010-0000-0200-000002000000}" name="Earnings Yield" dataDxfId="3"/>
    <tableColumn id="3" xr3:uid="{00000000-0010-0000-0200-000003000000}" name="Dividend Yield" dataDxfId="2" dataCellStyle="Percent"/>
    <tableColumn id="4" xr3:uid="{00000000-0010-0000-0200-000004000000}" name="T.Bond Rate" dataDxfId="1"/>
    <tableColumn id="5" xr3:uid="{00000000-0010-0000-0200-000005000000}" name="Implied ERP"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 dT="2020-06-01T17:46:47.53" personId="{4DFB6B62-2B7F-1C4E-A36B-B6ED6488607D}" id="{31A7805A-C843-7747-B7DE-73801EEA50F5}">
    <text>If you feel that the current risk free rate is unsustainable, answer “Yes” and be ready to enter a steady state risk free rate in the cell below.</text>
  </threadedComment>
  <threadedComment ref="B10" dT="2020-05-31T23:58:43.44" personId="{4DFB6B62-2B7F-1C4E-A36B-B6ED6488607D}" id="{3616F637-1BF6-914C-9E4F-99355F8E5935}">
    <text>If you normalize the risk free rate, I will also normalize the equity risk premium and use the historical premium (HUS) in the terminal cost of equity.</text>
  </threadedComment>
  <threadedComment ref="B17" dT="2020-06-01T17:50:56.12" personId="{4DFB6B62-2B7F-1C4E-A36B-B6ED6488607D}" id="{7DBAEAD6-0AB8-1B4F-A31A-3ECC568B1F5A}">
    <text>Check worksheet on earnings for estimates that are avaialble today (June 1, 2020)</text>
  </threadedComment>
  <threadedComment ref="B20" dT="2020-06-01T18:15:06.68" personId="{4DFB6B62-2B7F-1C4E-A36B-B6ED6488607D}" id="{0ED1E3E5-6EB5-C649-9353-30FFC5A69AEC}">
    <text>You can use the cash flow worksheet to the right, where you forecast drops in dividends and buybacks in 2020, and it will be calculated, or enter this directly as an input.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hyperlink" Target="http://us.spindices.com/indices/equity/sp-500" TargetMode="External"/><Relationship Id="rId7" Type="http://schemas.openxmlformats.org/officeDocument/2006/relationships/comments" Target="../comments2.xml"/><Relationship Id="rId2" Type="http://schemas.openxmlformats.org/officeDocument/2006/relationships/hyperlink" Target="http://www.trpropresearch.com/" TargetMode="External"/><Relationship Id="rId1" Type="http://schemas.openxmlformats.org/officeDocument/2006/relationships/hyperlink" Target="http://www.factset.com/websitefiles/PDFs/earningsinsight/earningsinsight_12.19.14"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hyperlink" Target="https://www.yardeni.com/"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tabSelected="1" zoomScale="125" workbookViewId="0">
      <selection activeCell="D28" sqref="D28"/>
    </sheetView>
  </sheetViews>
  <sheetFormatPr defaultColWidth="10.6640625" defaultRowHeight="13.15"/>
  <cols>
    <col min="1" max="1" width="54.1328125" bestFit="1" customWidth="1"/>
    <col min="2" max="2" width="14.59765625" customWidth="1"/>
    <col min="3" max="5" width="12.59765625" customWidth="1"/>
    <col min="6" max="6" width="18" customWidth="1"/>
    <col min="7" max="7" width="9.3984375" customWidth="1"/>
    <col min="8" max="8" width="17.1328125" customWidth="1"/>
    <col min="13" max="13" width="10.73046875" style="58"/>
  </cols>
  <sheetData>
    <row r="1" spans="1:13" s="1" customFormat="1" ht="30" thickBot="1">
      <c r="A1" s="229" t="s">
        <v>119</v>
      </c>
      <c r="B1" s="230"/>
      <c r="C1" s="230"/>
      <c r="D1" s="230"/>
      <c r="E1" s="230"/>
      <c r="F1" s="230"/>
      <c r="G1" s="230"/>
      <c r="H1" s="230"/>
      <c r="I1" s="231"/>
      <c r="J1" s="189"/>
      <c r="M1" s="57"/>
    </row>
    <row r="2" spans="1:13" s="52" customFormat="1" ht="21" customHeight="1" thickBot="1">
      <c r="A2" s="51" t="s">
        <v>42</v>
      </c>
      <c r="B2" s="189"/>
      <c r="C2" s="189"/>
      <c r="D2" s="189"/>
      <c r="E2" s="189"/>
      <c r="F2" s="189"/>
      <c r="G2" s="189"/>
      <c r="H2" s="189"/>
      <c r="I2" s="189"/>
      <c r="J2" s="189"/>
    </row>
    <row r="3" spans="1:13" s="4" customFormat="1">
      <c r="A3" s="3" t="s">
        <v>31</v>
      </c>
      <c r="B3" s="188">
        <v>3044.31</v>
      </c>
      <c r="D3" s="238" t="s">
        <v>131</v>
      </c>
      <c r="E3" s="239"/>
      <c r="F3" s="240"/>
      <c r="G3"/>
      <c r="H3"/>
    </row>
    <row r="4" spans="1:13" s="4" customFormat="1">
      <c r="A4" s="3" t="s">
        <v>126</v>
      </c>
      <c r="B4" s="188">
        <v>163</v>
      </c>
      <c r="D4" s="192"/>
      <c r="E4" s="193">
        <v>2019</v>
      </c>
      <c r="F4" s="194" t="s">
        <v>132</v>
      </c>
      <c r="G4"/>
      <c r="H4"/>
    </row>
    <row r="5" spans="1:13" s="4" customFormat="1">
      <c r="A5" s="3" t="s">
        <v>127</v>
      </c>
      <c r="B5" s="188">
        <v>146.30000000000001</v>
      </c>
      <c r="C5" s="54"/>
      <c r="D5" s="195" t="s">
        <v>15</v>
      </c>
      <c r="E5" s="191">
        <v>58.5</v>
      </c>
      <c r="F5" s="196">
        <v>0.2</v>
      </c>
      <c r="G5"/>
      <c r="H5"/>
    </row>
    <row r="6" spans="1:13" s="4" customFormat="1" ht="13.5" thickBot="1">
      <c r="A6" s="243" t="s">
        <v>134</v>
      </c>
      <c r="B6" s="244"/>
      <c r="C6"/>
      <c r="D6" s="197" t="s">
        <v>16</v>
      </c>
      <c r="E6" s="198">
        <v>87.81</v>
      </c>
      <c r="F6" s="199">
        <v>0.5</v>
      </c>
      <c r="G6"/>
      <c r="H6"/>
    </row>
    <row r="7" spans="1:13" s="4" customFormat="1">
      <c r="A7" s="3" t="s">
        <v>128</v>
      </c>
      <c r="B7" s="187">
        <v>3.7900000000000003E-2</v>
      </c>
      <c r="D7"/>
      <c r="E7"/>
      <c r="F7"/>
      <c r="G7"/>
      <c r="H7"/>
    </row>
    <row r="8" spans="1:13" s="4" customFormat="1">
      <c r="A8" s="3" t="s">
        <v>43</v>
      </c>
      <c r="B8" s="187">
        <v>6.6E-3</v>
      </c>
      <c r="D8" t="s">
        <v>133</v>
      </c>
      <c r="E8"/>
      <c r="F8"/>
      <c r="G8"/>
      <c r="H8"/>
    </row>
    <row r="9" spans="1:13" s="4" customFormat="1">
      <c r="A9" s="3" t="s">
        <v>129</v>
      </c>
      <c r="B9" s="186" t="s">
        <v>96</v>
      </c>
      <c r="D9" s="3" t="s">
        <v>44</v>
      </c>
      <c r="E9" s="143"/>
      <c r="F9" s="222">
        <v>4.8249046002781348E-2</v>
      </c>
      <c r="G9" s="3" t="s">
        <v>51</v>
      </c>
      <c r="H9"/>
    </row>
    <row r="10" spans="1:13" s="4" customFormat="1">
      <c r="A10" s="3" t="s">
        <v>137</v>
      </c>
      <c r="B10" s="187">
        <v>0.03</v>
      </c>
      <c r="D10" s="3" t="s">
        <v>45</v>
      </c>
      <c r="E10" s="143"/>
      <c r="F10" s="222">
        <v>3.2000000000000001E-2</v>
      </c>
      <c r="G10" s="3" t="s">
        <v>52</v>
      </c>
      <c r="H10"/>
    </row>
    <row r="11" spans="1:13" s="4" customFormat="1">
      <c r="A11" s="3" t="s">
        <v>55</v>
      </c>
      <c r="B11" s="186" t="s">
        <v>53</v>
      </c>
      <c r="D11" s="3" t="s">
        <v>46</v>
      </c>
      <c r="E11" s="143"/>
      <c r="F11" s="222">
        <f>AVERAGE('Implied ERP- Annual since 1960'!E52:E61)</f>
        <v>5.578000000000001E-2</v>
      </c>
      <c r="G11" s="3" t="s">
        <v>53</v>
      </c>
      <c r="H11"/>
    </row>
    <row r="12" spans="1:13" s="4" customFormat="1">
      <c r="A12" s="3" t="s">
        <v>54</v>
      </c>
      <c r="B12" s="211">
        <f>IF(B11="HUS",F9,IF(B11="HG",F10,IF(B11="ERP10",F11,IF(B11="ERPLong",F12,IF(B11="ERPHigh",F13,F14)))))</f>
        <v>5.578000000000001E-2</v>
      </c>
      <c r="D12" s="3" t="s">
        <v>47</v>
      </c>
      <c r="E12" s="3"/>
      <c r="F12" s="222">
        <f>AVERAGE('Implied ERP- Annual since 1960'!E3:E61)</f>
        <v>4.2040677966101704E-2</v>
      </c>
      <c r="G12" s="3" t="s">
        <v>77</v>
      </c>
      <c r="H12" s="2"/>
    </row>
    <row r="13" spans="1:13" s="2" customFormat="1">
      <c r="A13" s="3" t="s">
        <v>74</v>
      </c>
      <c r="B13" s="187">
        <f>IF(B9="No",B8,B10)</f>
        <v>6.6E-3</v>
      </c>
      <c r="D13" s="3" t="s">
        <v>75</v>
      </c>
      <c r="E13" s="143"/>
      <c r="F13" s="222">
        <f>MAX('Implied ERP- Annual since 1960'!E3:E61)</f>
        <v>6.4500000000000002E-2</v>
      </c>
      <c r="G13" s="3" t="s">
        <v>76</v>
      </c>
      <c r="H13"/>
    </row>
    <row r="14" spans="1:13" s="4" customFormat="1">
      <c r="A14" s="208" t="s">
        <v>139</v>
      </c>
      <c r="B14" s="209">
        <v>0.16200000000000001</v>
      </c>
      <c r="D14" s="212" t="s">
        <v>140</v>
      </c>
      <c r="E14" s="213"/>
      <c r="F14" s="223">
        <v>0.05</v>
      </c>
      <c r="G14" s="217" t="s">
        <v>141</v>
      </c>
      <c r="H14"/>
    </row>
    <row r="15" spans="1:13" s="4" customFormat="1">
      <c r="A15" s="241" t="s">
        <v>112</v>
      </c>
      <c r="B15" s="242"/>
      <c r="D15"/>
      <c r="E15"/>
      <c r="F15"/>
    </row>
    <row r="16" spans="1:13" s="4" customFormat="1">
      <c r="A16" s="3" t="s">
        <v>116</v>
      </c>
      <c r="B16" s="214" t="s">
        <v>95</v>
      </c>
    </row>
    <row r="17" spans="1:14" s="4" customFormat="1">
      <c r="A17" s="3" t="s">
        <v>125</v>
      </c>
      <c r="B17" s="215">
        <v>120</v>
      </c>
      <c r="D17" s="31" t="s">
        <v>117</v>
      </c>
      <c r="E17" s="200">
        <f>(G35/D35)^(1/3)-1</f>
        <v>7.2228046404274826E-2</v>
      </c>
      <c r="F17" s="232" t="s">
        <v>130</v>
      </c>
      <c r="G17" s="233"/>
      <c r="H17" s="234"/>
    </row>
    <row r="18" spans="1:14" s="4" customFormat="1">
      <c r="A18" s="3" t="s">
        <v>120</v>
      </c>
      <c r="B18" s="215">
        <v>150</v>
      </c>
      <c r="D18" s="51"/>
      <c r="E18" s="185"/>
      <c r="F18" s="235"/>
      <c r="G18" s="236"/>
      <c r="H18" s="237"/>
    </row>
    <row r="19" spans="1:14" s="4" customFormat="1">
      <c r="A19" s="3" t="s">
        <v>135</v>
      </c>
      <c r="B19" s="216">
        <v>0.8</v>
      </c>
      <c r="C19" s="201" t="s">
        <v>136</v>
      </c>
      <c r="D19" s="202"/>
      <c r="E19" s="202"/>
      <c r="F19" s="203"/>
      <c r="G19" s="202"/>
      <c r="H19" s="204"/>
    </row>
    <row r="20" spans="1:14" s="4" customFormat="1">
      <c r="A20" s="3" t="s">
        <v>114</v>
      </c>
      <c r="B20" s="221">
        <f>(E5*(1-F5)+E6*(1-F6))/B17</f>
        <v>0.75587500000000007</v>
      </c>
      <c r="C20" s="190"/>
    </row>
    <row r="21" spans="1:14" s="4" customFormat="1" ht="13.5" thickBot="1">
      <c r="A21" s="145"/>
      <c r="B21" s="207"/>
      <c r="C21" s="190"/>
    </row>
    <row r="22" spans="1:14" s="4" customFormat="1" ht="15.4" thickBot="1">
      <c r="A22" s="245" t="s">
        <v>113</v>
      </c>
      <c r="B22" s="246"/>
      <c r="C22" s="246"/>
      <c r="D22" s="246"/>
      <c r="E22" s="246"/>
      <c r="F22" s="246"/>
      <c r="G22" s="246"/>
      <c r="H22" s="247"/>
    </row>
    <row r="23" spans="1:14" s="4" customFormat="1">
      <c r="A23" s="9"/>
      <c r="B23" s="205" t="s">
        <v>93</v>
      </c>
      <c r="C23" s="9">
        <v>1</v>
      </c>
      <c r="D23" s="9">
        <v>2</v>
      </c>
      <c r="E23" s="9">
        <v>3</v>
      </c>
      <c r="F23" s="9">
        <v>4</v>
      </c>
      <c r="G23" s="9">
        <v>5</v>
      </c>
      <c r="H23" s="205" t="s">
        <v>94</v>
      </c>
    </row>
    <row r="24" spans="1:14" s="4" customFormat="1">
      <c r="A24" s="9" t="s">
        <v>91</v>
      </c>
      <c r="B24" s="88">
        <f>B4</f>
        <v>163</v>
      </c>
      <c r="C24" s="88">
        <f>B24*(1+'S&amp;P 500 Valuation'!$B$7)^'S&amp;P 500 Valuation'!C23</f>
        <v>169.17770000000002</v>
      </c>
      <c r="D24" s="88">
        <f>B24*(1+'S&amp;P 500 Valuation'!$B$7)^'S&amp;P 500 Valuation'!D23</f>
        <v>175.58953483000002</v>
      </c>
      <c r="E24" s="88">
        <f>B24*(1+'S&amp;P 500 Valuation'!$B$7)^'S&amp;P 500 Valuation'!E23</f>
        <v>182.24437820005701</v>
      </c>
      <c r="F24" s="88">
        <f>B24*(1+'S&amp;P 500 Valuation'!$B$7)^'S&amp;P 500 Valuation'!F23</f>
        <v>189.15144013383917</v>
      </c>
      <c r="G24" s="88">
        <f>B24*(1+'S&amp;P 500 Valuation'!$B$7)^'S&amp;P 500 Valuation'!G23</f>
        <v>196.32027971491169</v>
      </c>
      <c r="H24" s="90">
        <f>IF(B9="No",G24*(1+B8),G24*(1+B10))</f>
        <v>197.61599356103011</v>
      </c>
    </row>
    <row r="25" spans="1:14" s="4" customFormat="1">
      <c r="A25" s="9" t="s">
        <v>92</v>
      </c>
      <c r="B25" s="89">
        <f>B26/B24</f>
        <v>0.89754601226993869</v>
      </c>
      <c r="C25" s="89">
        <f>B25-($B$25-$H$25)/5</f>
        <v>0.9098886616678028</v>
      </c>
      <c r="D25" s="89">
        <f t="shared" ref="D25:G25" si="0">C25-($B$25-$H$25)/5</f>
        <v>0.92223131106566691</v>
      </c>
      <c r="E25" s="89">
        <f t="shared" si="0"/>
        <v>0.93457396046353103</v>
      </c>
      <c r="F25" s="89">
        <f t="shared" si="0"/>
        <v>0.94691660986139514</v>
      </c>
      <c r="G25" s="89">
        <f t="shared" si="0"/>
        <v>0.95925925925925926</v>
      </c>
      <c r="H25" s="101">
        <f>1-B13/B14</f>
        <v>0.95925925925925926</v>
      </c>
      <c r="I25" s="54"/>
    </row>
    <row r="26" spans="1:14" s="4" customFormat="1" ht="15">
      <c r="A26" s="3" t="s">
        <v>102</v>
      </c>
      <c r="B26" s="90">
        <f>B5</f>
        <v>146.30000000000001</v>
      </c>
      <c r="C26" s="94">
        <f>C24*C25</f>
        <v>153.93287103703705</v>
      </c>
      <c r="D26" s="94">
        <f>D24*D25</f>
        <v>161.93416691568152</v>
      </c>
      <c r="E26" s="94">
        <f>E24*E25</f>
        <v>170.32085030664089</v>
      </c>
      <c r="F26" s="94">
        <f>F24*F25</f>
        <v>179.11064044193563</v>
      </c>
      <c r="G26" s="94">
        <f>G24*G25</f>
        <v>188.32204609689677</v>
      </c>
      <c r="H26" s="90">
        <f>H25*H24</f>
        <v>189.56497160113628</v>
      </c>
      <c r="J26" s="8"/>
      <c r="K26" s="8"/>
      <c r="L26" s="8"/>
      <c r="M26" s="8"/>
    </row>
    <row r="27" spans="1:14" s="8" customFormat="1" ht="15" customHeight="1">
      <c r="A27" s="3" t="s">
        <v>0</v>
      </c>
      <c r="B27" s="91"/>
      <c r="C27" s="94"/>
      <c r="D27" s="94"/>
      <c r="E27" s="94"/>
      <c r="F27" s="94"/>
      <c r="G27" s="94">
        <f>IF(B9="No",H26/(B8+B12-B13),H26/(B10+F9-B10))</f>
        <v>3398.4397920605279</v>
      </c>
      <c r="H27" s="102"/>
      <c r="I27" s="4"/>
      <c r="J27" s="4"/>
      <c r="K27" s="4"/>
      <c r="L27" s="4"/>
      <c r="M27" s="4"/>
      <c r="N27" s="4"/>
    </row>
    <row r="28" spans="1:14" s="4" customFormat="1">
      <c r="A28" s="60" t="s">
        <v>1</v>
      </c>
      <c r="B28" s="92"/>
      <c r="C28" s="95">
        <f>C26/(1+$B$8+$B$12)^C23</f>
        <v>144.89436080972632</v>
      </c>
      <c r="D28" s="95">
        <f>D26/(1+$B$8+$B$12)^D23</f>
        <v>143.47582111802006</v>
      </c>
      <c r="E28" s="94">
        <f>E26/(1+$B$8+$B$12)^E23</f>
        <v>142.04572178746554</v>
      </c>
      <c r="F28" s="94">
        <f>F26/(1+$B$8+$B$12)^F23</f>
        <v>140.60534873639025</v>
      </c>
      <c r="G28" s="94">
        <f>(G26+G27)/(1+$B$8+$B$12)^G23</f>
        <v>2650.3492644192206</v>
      </c>
      <c r="H28" s="102"/>
    </row>
    <row r="29" spans="1:14" s="4" customFormat="1">
      <c r="A29" s="3" t="s">
        <v>2</v>
      </c>
      <c r="B29" s="91"/>
      <c r="C29" s="183">
        <f>SUM(C28:G28)</f>
        <v>3221.3705168708229</v>
      </c>
      <c r="D29" s="96"/>
      <c r="E29" s="96"/>
      <c r="F29" s="96"/>
      <c r="G29" s="96"/>
      <c r="H29" s="93"/>
    </row>
    <row r="30" spans="1:14" s="4" customFormat="1">
      <c r="A30" s="3" t="s">
        <v>58</v>
      </c>
      <c r="B30" s="91"/>
      <c r="C30" s="181">
        <f>C29/'Buyback &amp; Dividend computation'!C46</f>
        <v>20.458644396510106</v>
      </c>
    </row>
    <row r="31" spans="1:14" s="4" customFormat="1">
      <c r="A31" s="3" t="s">
        <v>61</v>
      </c>
      <c r="B31" s="91"/>
      <c r="C31" s="181">
        <f>C29/AVERAGE('Buyback &amp; Dividend computation'!Q36:Q45)</f>
        <v>27.741933413608766</v>
      </c>
      <c r="L31" s="30"/>
    </row>
    <row r="32" spans="1:14" s="4" customFormat="1" ht="13.5" thickBot="1">
      <c r="A32" s="145"/>
      <c r="B32" s="56"/>
      <c r="C32" s="182"/>
      <c r="L32" s="30"/>
    </row>
    <row r="33" spans="1:14" s="4" customFormat="1" ht="20" customHeight="1" thickBot="1">
      <c r="A33" s="245" t="s">
        <v>121</v>
      </c>
      <c r="B33" s="246"/>
      <c r="C33" s="246"/>
      <c r="D33" s="246"/>
      <c r="E33" s="246"/>
      <c r="F33" s="246"/>
      <c r="G33" s="246"/>
      <c r="H33" s="247"/>
    </row>
    <row r="34" spans="1:14" s="4" customFormat="1">
      <c r="A34" s="224"/>
      <c r="B34" s="225" t="str">
        <f>B23</f>
        <v>Last 12 months</v>
      </c>
      <c r="C34" s="226">
        <v>1</v>
      </c>
      <c r="D34" s="226">
        <v>2</v>
      </c>
      <c r="E34" s="226">
        <v>3</v>
      </c>
      <c r="F34" s="226">
        <v>4</v>
      </c>
      <c r="G34" s="226">
        <v>5</v>
      </c>
      <c r="H34" s="205" t="str">
        <f>H23</f>
        <v>Terminal Year</v>
      </c>
      <c r="J34"/>
      <c r="K34"/>
      <c r="L34"/>
      <c r="M34"/>
      <c r="N34" s="58"/>
    </row>
    <row r="35" spans="1:14" s="4" customFormat="1">
      <c r="A35" s="9" t="s">
        <v>91</v>
      </c>
      <c r="B35" s="103">
        <f>B24</f>
        <v>163</v>
      </c>
      <c r="C35" s="104">
        <f>B17</f>
        <v>120</v>
      </c>
      <c r="D35" s="104">
        <f>B18</f>
        <v>150</v>
      </c>
      <c r="E35" s="104">
        <f t="shared" ref="E35:F35" si="1">D35*(1+$E$17)</f>
        <v>160.83420696064121</v>
      </c>
      <c r="F35" s="104">
        <f t="shared" si="1"/>
        <v>172.45094752438914</v>
      </c>
      <c r="G35" s="104">
        <f>G24-(G24-C35*(1+B7)^4)*(1-B19)</f>
        <v>184.90674256464189</v>
      </c>
      <c r="H35" s="90">
        <f>IF(B9="No",G35*(1+B8),G35*(1+B10))</f>
        <v>186.12712706556852</v>
      </c>
      <c r="J35"/>
      <c r="K35"/>
      <c r="L35"/>
      <c r="M35"/>
      <c r="N35" s="58"/>
    </row>
    <row r="36" spans="1:14" s="4" customFormat="1">
      <c r="A36" s="9" t="s">
        <v>92</v>
      </c>
      <c r="B36" s="89">
        <f>B37/B35</f>
        <v>0.89754601226993869</v>
      </c>
      <c r="C36" s="101">
        <f>IF(B16="Yes",B20,C25)</f>
        <v>0.75587500000000007</v>
      </c>
      <c r="D36" s="101">
        <f>C36-($C$36-$H$36)/4</f>
        <v>0.80672106481481487</v>
      </c>
      <c r="E36" s="101">
        <f t="shared" ref="E36:G36" si="2">D36-($C$36-$H$36)/4</f>
        <v>0.85756712962962967</v>
      </c>
      <c r="F36" s="101">
        <f t="shared" si="2"/>
        <v>0.90841319444444446</v>
      </c>
      <c r="G36" s="101">
        <f t="shared" si="2"/>
        <v>0.95925925925925926</v>
      </c>
      <c r="H36" s="101">
        <f>1-B13/B14</f>
        <v>0.95925925925925926</v>
      </c>
      <c r="J36"/>
      <c r="K36"/>
      <c r="L36"/>
      <c r="M36"/>
      <c r="N36" s="58"/>
    </row>
    <row r="37" spans="1:14">
      <c r="A37" s="3" t="s">
        <v>102</v>
      </c>
      <c r="B37" s="103">
        <f>B26</f>
        <v>146.30000000000001</v>
      </c>
      <c r="C37" s="7">
        <f t="shared" ref="C37:H37" si="3">C35*C36</f>
        <v>90.705000000000013</v>
      </c>
      <c r="D37" s="7">
        <f t="shared" si="3"/>
        <v>121.00815972222223</v>
      </c>
      <c r="E37" s="7">
        <f t="shared" si="3"/>
        <v>137.92612920949489</v>
      </c>
      <c r="F37" s="7">
        <f t="shared" si="3"/>
        <v>156.6567161256016</v>
      </c>
      <c r="G37" s="7">
        <f t="shared" si="3"/>
        <v>177.37350490460094</v>
      </c>
      <c r="H37" s="90">
        <f t="shared" si="3"/>
        <v>178.54417003697128</v>
      </c>
      <c r="I37" s="4"/>
      <c r="M37"/>
      <c r="N37" s="58"/>
    </row>
    <row r="38" spans="1:14">
      <c r="A38" s="3" t="s">
        <v>0</v>
      </c>
      <c r="B38" s="3"/>
      <c r="C38" s="5"/>
      <c r="D38" s="5"/>
      <c r="E38" s="5"/>
      <c r="F38" s="5"/>
      <c r="G38" s="5">
        <f>IF(B9="No",H37/(B8+B12-B13),H37/(B10+F9-B10))</f>
        <v>3200.863571835268</v>
      </c>
      <c r="H38" s="31"/>
      <c r="I38" s="4"/>
      <c r="M38"/>
      <c r="N38" s="58"/>
    </row>
    <row r="39" spans="1:14" ht="13.5" thickBot="1">
      <c r="A39" s="3" t="s">
        <v>1</v>
      </c>
      <c r="B39" s="3"/>
      <c r="C39" s="95">
        <f>C37/(1+$B$8+$B$12)^C34</f>
        <v>85.379054575575623</v>
      </c>
      <c r="D39" s="95">
        <f t="shared" ref="D39:F39" si="4">D37/(1+$B$8+$B$12)^D34</f>
        <v>107.21483556442136</v>
      </c>
      <c r="E39" s="95">
        <f t="shared" si="4"/>
        <v>115.02887956255137</v>
      </c>
      <c r="F39" s="95">
        <f t="shared" si="4"/>
        <v>122.97857987883516</v>
      </c>
      <c r="G39" s="94">
        <f>(G37+G38)/(1+$B$8+$B$12)^G34</f>
        <v>2496.2650310707013</v>
      </c>
      <c r="H39" s="31"/>
      <c r="I39" s="4"/>
      <c r="M39"/>
      <c r="N39" s="58"/>
    </row>
    <row r="40" spans="1:14" ht="13.5" thickBot="1">
      <c r="A40" s="3" t="s">
        <v>2</v>
      </c>
      <c r="B40" s="145"/>
      <c r="C40" s="184">
        <f>SUM(C39:G39)</f>
        <v>2926.8663806520849</v>
      </c>
      <c r="D40" s="6"/>
      <c r="E40" s="6"/>
      <c r="F40" s="6"/>
      <c r="G40" s="6"/>
      <c r="H40" s="4"/>
      <c r="I40" s="4"/>
      <c r="M40"/>
      <c r="N40" s="58"/>
    </row>
    <row r="41" spans="1:14" s="4" customFormat="1">
      <c r="A41" s="3" t="s">
        <v>58</v>
      </c>
      <c r="B41" s="91"/>
      <c r="C41" s="181">
        <f>C40/C35</f>
        <v>24.390553172100706</v>
      </c>
      <c r="F41" s="93"/>
    </row>
    <row r="42" spans="1:14" s="4" customFormat="1">
      <c r="A42" s="3" t="s">
        <v>61</v>
      </c>
      <c r="B42" s="91"/>
      <c r="C42" s="181">
        <f>C40/AVERAGE('Buyback &amp; Dividend computation'!C36:C45)</f>
        <v>25.689590112102703</v>
      </c>
      <c r="L42" s="30"/>
    </row>
    <row r="43" spans="1:14" ht="13.5" thickBot="1"/>
    <row r="44" spans="1:14" ht="13.5" thickBot="1">
      <c r="B44" s="248" t="s">
        <v>138</v>
      </c>
      <c r="C44" s="249"/>
      <c r="D44" s="249"/>
      <c r="E44" s="249"/>
      <c r="F44" s="249"/>
      <c r="G44" s="249"/>
      <c r="H44" s="250"/>
    </row>
    <row r="45" spans="1:14" ht="15.75">
      <c r="B45" s="206"/>
      <c r="C45" s="227" t="s">
        <v>122</v>
      </c>
      <c r="D45" s="227"/>
      <c r="E45" s="227" t="s">
        <v>123</v>
      </c>
      <c r="F45" s="227"/>
      <c r="G45" s="228" t="s">
        <v>124</v>
      </c>
      <c r="H45" s="228"/>
    </row>
    <row r="46" spans="1:14" ht="15.75">
      <c r="B46" s="66" t="s">
        <v>5</v>
      </c>
      <c r="C46" s="66" t="s">
        <v>36</v>
      </c>
      <c r="D46" s="178" t="s">
        <v>86</v>
      </c>
      <c r="E46" s="66" t="s">
        <v>36</v>
      </c>
      <c r="F46" s="178" t="s">
        <v>86</v>
      </c>
      <c r="G46" s="66" t="s">
        <v>36</v>
      </c>
      <c r="H46" s="178" t="s">
        <v>86</v>
      </c>
    </row>
    <row r="47" spans="1:14" ht="15.75">
      <c r="B47" s="42">
        <v>2020</v>
      </c>
      <c r="C47" s="41">
        <f>C24</f>
        <v>169.17770000000002</v>
      </c>
      <c r="D47" s="177">
        <f>C26</f>
        <v>153.93287103703705</v>
      </c>
      <c r="E47" s="41">
        <f>C35</f>
        <v>120</v>
      </c>
      <c r="F47" s="177">
        <f>C37</f>
        <v>90.705000000000013</v>
      </c>
      <c r="G47" s="179">
        <f>E47/C47-1</f>
        <v>-0.29068665669293303</v>
      </c>
      <c r="H47" s="180">
        <f t="shared" ref="H47:H52" si="5">F47/D47-1</f>
        <v>-0.41074963788484187</v>
      </c>
    </row>
    <row r="48" spans="1:14" ht="15.75">
      <c r="B48" s="42">
        <v>2021</v>
      </c>
      <c r="C48" s="41">
        <f>D24</f>
        <v>175.58953483000002</v>
      </c>
      <c r="D48" s="177">
        <f>D26</f>
        <v>161.93416691568152</v>
      </c>
      <c r="E48" s="41">
        <f>D35</f>
        <v>150</v>
      </c>
      <c r="F48" s="177">
        <f>D37</f>
        <v>121.00815972222223</v>
      </c>
      <c r="G48" s="179">
        <f t="shared" ref="G48:G52" si="6">E48/C48-1</f>
        <v>-0.14573496566737287</v>
      </c>
      <c r="H48" s="180">
        <f t="shared" si="5"/>
        <v>-0.25273237867564602</v>
      </c>
    </row>
    <row r="49" spans="2:8" ht="15.75">
      <c r="B49" s="42">
        <v>2022</v>
      </c>
      <c r="C49" s="41">
        <f>E24</f>
        <v>182.24437820005701</v>
      </c>
      <c r="D49" s="177">
        <f>E26</f>
        <v>170.32085030664089</v>
      </c>
      <c r="E49" s="41">
        <f>E35</f>
        <v>160.83420696064121</v>
      </c>
      <c r="F49" s="177">
        <f>E37</f>
        <v>137.92612920949489</v>
      </c>
      <c r="G49" s="179">
        <f t="shared" si="6"/>
        <v>-0.11748055797865542</v>
      </c>
      <c r="H49" s="180">
        <f t="shared" si="5"/>
        <v>-0.1901982114275701</v>
      </c>
    </row>
    <row r="50" spans="2:8" ht="15.75">
      <c r="B50" s="42">
        <v>2023</v>
      </c>
      <c r="C50" s="41">
        <f>F24</f>
        <v>189.15144013383917</v>
      </c>
      <c r="D50" s="177">
        <f>F26</f>
        <v>179.11064044193563</v>
      </c>
      <c r="E50" s="41">
        <f>F35</f>
        <v>172.45094752438914</v>
      </c>
      <c r="F50" s="177">
        <f>F37</f>
        <v>156.6567161256016</v>
      </c>
      <c r="G50" s="179">
        <f t="shared" si="6"/>
        <v>-8.8291649260683114E-2</v>
      </c>
      <c r="H50" s="180">
        <f t="shared" si="5"/>
        <v>-0.12536343045243692</v>
      </c>
    </row>
    <row r="51" spans="2:8" ht="15.75">
      <c r="B51" s="42">
        <v>2024</v>
      </c>
      <c r="C51" s="41">
        <f>G24</f>
        <v>196.32027971491169</v>
      </c>
      <c r="D51" s="177">
        <f>G26</f>
        <v>188.32204609689677</v>
      </c>
      <c r="E51" s="41">
        <f>G35</f>
        <v>184.90674256464189</v>
      </c>
      <c r="F51" s="177">
        <f>G37</f>
        <v>177.37350490460094</v>
      </c>
      <c r="G51" s="179">
        <f t="shared" si="6"/>
        <v>-5.8137331338586451E-2</v>
      </c>
      <c r="H51" s="180">
        <f t="shared" si="5"/>
        <v>-5.8137331338586451E-2</v>
      </c>
    </row>
    <row r="52" spans="2:8" ht="15.75">
      <c r="B52" s="42">
        <v>2025</v>
      </c>
      <c r="C52" s="41">
        <f>H24</f>
        <v>197.61599356103011</v>
      </c>
      <c r="D52" s="177">
        <f>H26</f>
        <v>189.56497160113628</v>
      </c>
      <c r="E52" s="41">
        <f>H35</f>
        <v>186.12712706556852</v>
      </c>
      <c r="F52" s="177">
        <f>H37</f>
        <v>178.54417003697128</v>
      </c>
      <c r="G52" s="179">
        <f t="shared" si="6"/>
        <v>-5.8137331338586562E-2</v>
      </c>
      <c r="H52" s="180">
        <f t="shared" si="5"/>
        <v>-5.8137331338586451E-2</v>
      </c>
    </row>
  </sheetData>
  <mergeCells count="11">
    <mergeCell ref="C45:D45"/>
    <mergeCell ref="E45:F45"/>
    <mergeCell ref="G45:H45"/>
    <mergeCell ref="A1:I1"/>
    <mergeCell ref="F17:H18"/>
    <mergeCell ref="D3:F3"/>
    <mergeCell ref="A15:B15"/>
    <mergeCell ref="A6:B6"/>
    <mergeCell ref="A22:H22"/>
    <mergeCell ref="A33:H33"/>
    <mergeCell ref="B44:H44"/>
  </mergeCells>
  <phoneticPr fontId="12" type="noConversion"/>
  <dataValidations count="1">
    <dataValidation type="list" allowBlank="1" showInputMessage="1" showErrorMessage="1" sqref="B11" xr:uid="{00000000-0002-0000-0000-000002000000}">
      <formula1>$G$9:$G$14</formula1>
    </dataValidation>
  </dataValidations>
  <printOptions gridLines="1" gridLinesSet="0"/>
  <pageMargins left="0.75" right="0.75" top="1" bottom="1" header="0.5" footer="0.5"/>
  <pageSetup scale="80" orientation="landscape" horizontalDpi="4294967292" verticalDpi="4294967292"/>
  <headerFooter alignWithMargins="0">
    <oddHeader>&amp;A</oddHeader>
    <oddFooter>Page &amp;P</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Sheet9!$A$2:$A$3</xm:f>
          </x14:formula1>
          <xm:sqref>B9 B16</xm:sqref>
        </x14:dataValidation>
      </x14:dataValidations>
    </ex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5"/>
  <sheetViews>
    <sheetView workbookViewId="0">
      <selection activeCell="K2" sqref="K2"/>
    </sheetView>
  </sheetViews>
  <sheetFormatPr defaultColWidth="10.6640625" defaultRowHeight="13.15"/>
  <cols>
    <col min="1" max="1" width="18.3984375" bestFit="1" customWidth="1"/>
    <col min="2" max="2" width="19.1328125" bestFit="1" customWidth="1"/>
    <col min="6" max="6" width="16.1328125" bestFit="1" customWidth="1"/>
    <col min="7" max="7" width="19.1328125" bestFit="1" customWidth="1"/>
    <col min="8" max="8" width="12.73046875" customWidth="1"/>
    <col min="9" max="10" width="21.265625" customWidth="1"/>
    <col min="11" max="11" width="13.3984375" customWidth="1"/>
    <col min="12" max="12" width="19.86328125" bestFit="1" customWidth="1"/>
  </cols>
  <sheetData>
    <row r="1" spans="1:18" ht="15">
      <c r="A1" s="252" t="s">
        <v>143</v>
      </c>
      <c r="B1" s="252"/>
      <c r="C1" s="252"/>
      <c r="D1" s="252"/>
      <c r="E1" s="168"/>
      <c r="F1" s="253" t="s">
        <v>142</v>
      </c>
      <c r="G1" s="253"/>
      <c r="H1" s="253"/>
      <c r="I1" s="253"/>
      <c r="K1" s="253" t="s">
        <v>187</v>
      </c>
      <c r="L1" s="253"/>
      <c r="M1" s="253"/>
      <c r="N1" s="253"/>
      <c r="O1" s="155"/>
      <c r="P1" s="253" t="s">
        <v>105</v>
      </c>
      <c r="Q1" s="253"/>
      <c r="R1" s="253"/>
    </row>
    <row r="2" spans="1:18">
      <c r="A2" t="s">
        <v>5</v>
      </c>
      <c r="B2" t="s">
        <v>33</v>
      </c>
      <c r="D2" t="s">
        <v>32</v>
      </c>
      <c r="F2" t="s">
        <v>5</v>
      </c>
      <c r="G2" t="s">
        <v>33</v>
      </c>
      <c r="I2" t="s">
        <v>32</v>
      </c>
      <c r="K2" t="s">
        <v>5</v>
      </c>
      <c r="L2" t="s">
        <v>100</v>
      </c>
      <c r="M2" t="s">
        <v>36</v>
      </c>
      <c r="N2" t="s">
        <v>32</v>
      </c>
      <c r="P2" t="s">
        <v>100</v>
      </c>
      <c r="Q2" t="s">
        <v>36</v>
      </c>
      <c r="R2" t="s">
        <v>32</v>
      </c>
    </row>
    <row r="3" spans="1:18">
      <c r="A3">
        <v>2019</v>
      </c>
      <c r="C3" s="125">
        <v>163</v>
      </c>
      <c r="D3" t="s">
        <v>103</v>
      </c>
      <c r="F3">
        <v>2019</v>
      </c>
      <c r="H3" s="125">
        <v>162.97</v>
      </c>
      <c r="I3" t="s">
        <v>111</v>
      </c>
      <c r="K3">
        <v>2019</v>
      </c>
      <c r="M3" s="126">
        <v>162.93</v>
      </c>
      <c r="N3" t="s">
        <v>98</v>
      </c>
      <c r="Q3" s="126">
        <v>1418.75</v>
      </c>
    </row>
    <row r="4" spans="1:18">
      <c r="A4">
        <v>2020</v>
      </c>
      <c r="B4" s="25">
        <f>C4/C3-1</f>
        <v>-0.26380368098159512</v>
      </c>
      <c r="C4" s="125">
        <v>120</v>
      </c>
      <c r="D4" t="s">
        <v>103</v>
      </c>
      <c r="F4">
        <v>2020</v>
      </c>
      <c r="G4" s="25">
        <f>H4/H3-1</f>
        <v>-0.22814014849358777</v>
      </c>
      <c r="H4" s="125">
        <v>125.79</v>
      </c>
      <c r="I4" t="s">
        <v>111</v>
      </c>
      <c r="K4">
        <v>2020</v>
      </c>
      <c r="L4" s="36">
        <f>M4/M3-1</f>
        <v>-0.23144908856564173</v>
      </c>
      <c r="M4" s="126">
        <v>125.22</v>
      </c>
      <c r="N4" t="s">
        <v>98</v>
      </c>
      <c r="P4" s="36">
        <f>Q4/Q3-1</f>
        <v>6.3873127753303782E-2</v>
      </c>
      <c r="Q4" s="125">
        <v>1509.37</v>
      </c>
      <c r="R4" t="s">
        <v>104</v>
      </c>
    </row>
    <row r="5" spans="1:18">
      <c r="A5">
        <v>2021</v>
      </c>
      <c r="B5" s="25">
        <f>C5/C4-1</f>
        <v>0.25</v>
      </c>
      <c r="C5" s="125">
        <v>150</v>
      </c>
      <c r="D5" t="s">
        <v>103</v>
      </c>
      <c r="F5">
        <v>2021</v>
      </c>
      <c r="G5" s="25">
        <f>H5/H4-1</f>
        <v>0.30407822561411857</v>
      </c>
      <c r="H5" s="125">
        <v>164.04</v>
      </c>
      <c r="I5" t="s">
        <v>111</v>
      </c>
      <c r="K5">
        <v>2021</v>
      </c>
      <c r="L5" s="36">
        <f>M5/M4-1</f>
        <v>0.30705957514773985</v>
      </c>
      <c r="M5" s="125">
        <v>163.66999999999999</v>
      </c>
      <c r="N5" t="s">
        <v>98</v>
      </c>
      <c r="P5" s="36">
        <f>Q5/Q4-1</f>
        <v>8.4531957041679817E-2</v>
      </c>
      <c r="Q5" s="125">
        <v>1636.96</v>
      </c>
      <c r="R5" t="s">
        <v>104</v>
      </c>
    </row>
    <row r="6" spans="1:18">
      <c r="A6">
        <v>2022</v>
      </c>
      <c r="B6" s="36">
        <f>B5-(B5-B8)/3</f>
        <v>0.16886666666666666</v>
      </c>
      <c r="F6">
        <v>2022</v>
      </c>
      <c r="G6" s="36">
        <f>G5-(G5-G8)/3</f>
        <v>0.20491881707607906</v>
      </c>
      <c r="K6">
        <v>2022</v>
      </c>
      <c r="L6" s="36">
        <f>L5-(L5-L8)/3</f>
        <v>0.20690638343182655</v>
      </c>
      <c r="M6" s="171"/>
      <c r="P6" s="36">
        <f>P5-(P5-P8)/3</f>
        <v>5.8554638027786543E-2</v>
      </c>
      <c r="Q6" s="125"/>
      <c r="R6" t="s">
        <v>104</v>
      </c>
    </row>
    <row r="7" spans="1:18">
      <c r="A7">
        <v>2023</v>
      </c>
      <c r="B7" s="36">
        <f>B6-(B5-B8)/3</f>
        <v>8.773333333333333E-2</v>
      </c>
      <c r="F7">
        <v>2023</v>
      </c>
      <c r="G7" s="36">
        <f>G6-(G5-G8)/3</f>
        <v>0.10575940853803954</v>
      </c>
      <c r="K7">
        <v>2023</v>
      </c>
      <c r="L7" s="36">
        <f>L6-(L5-L8)/3</f>
        <v>0.10675319171591326</v>
      </c>
      <c r="P7" s="36">
        <f>P6-(P5-P8)/3</f>
        <v>3.2577319013893269E-2</v>
      </c>
    </row>
    <row r="8" spans="1:18" ht="13.5" thickBot="1">
      <c r="A8">
        <v>2024</v>
      </c>
      <c r="B8" s="25">
        <f>IF('S&amp;P 500 Valuation'!B9="No",'S&amp;P 500 Valuation'!B8,'S&amp;P 500 Valuation'!B10)</f>
        <v>6.6E-3</v>
      </c>
      <c r="F8">
        <v>2024</v>
      </c>
      <c r="G8" s="25">
        <f>IF('S&amp;P 500 Valuation'!B9="No",'S&amp;P 500 Valuation'!B8,'S&amp;P 500 Valuation'!B10)</f>
        <v>6.6E-3</v>
      </c>
      <c r="K8">
        <v>2024</v>
      </c>
      <c r="L8" s="36">
        <f>IF('S&amp;P 500 Valuation'!B9="No",'S&amp;P 500 Valuation'!B8,'S&amp;P 500 Valuation'!B10)</f>
        <v>6.6E-3</v>
      </c>
      <c r="P8" s="36">
        <f>'S&amp;P 500 Valuation'!B8</f>
        <v>6.6E-3</v>
      </c>
    </row>
    <row r="9" spans="1:18" ht="13.5" thickBot="1">
      <c r="A9" t="s">
        <v>25</v>
      </c>
      <c r="B9" s="167">
        <f>((1+B4)*(1+B5)*(1+B6)*(1+B7)*(1+B8))^(1/5)-1</f>
        <v>3.3259955481966808E-2</v>
      </c>
      <c r="F9" t="s">
        <v>25</v>
      </c>
      <c r="G9" s="167">
        <f>((1+G4)*(1+G5)*(1+G6)*(1+G7)*(1+G8))^(1/5)-1</f>
        <v>6.1850779607620199E-2</v>
      </c>
      <c r="K9" t="s">
        <v>25</v>
      </c>
      <c r="L9" s="167">
        <f>((1+L4)*(1+L5)*(1+L6)*(1+L7)*(1+L8))^(1/5)-1</f>
        <v>6.1964168787260521E-2</v>
      </c>
      <c r="P9" s="167">
        <f>((1+P4)*(1+P5)*(1+P6)*(1+P7)*(1+P8))^(1/5)-1</f>
        <v>4.8878047432703964E-2</v>
      </c>
    </row>
    <row r="11" spans="1:18">
      <c r="A11" t="s">
        <v>62</v>
      </c>
    </row>
    <row r="12" spans="1:18">
      <c r="A12" s="62" t="s">
        <v>60</v>
      </c>
    </row>
    <row r="13" spans="1:18">
      <c r="A13" s="62" t="s">
        <v>59</v>
      </c>
    </row>
    <row r="14" spans="1:18">
      <c r="A14" s="62" t="s">
        <v>103</v>
      </c>
    </row>
    <row r="15" spans="1:18">
      <c r="A15" s="62" t="s">
        <v>106</v>
      </c>
      <c r="B15" t="s">
        <v>110</v>
      </c>
    </row>
    <row r="16" spans="1:18">
      <c r="A16" s="62"/>
      <c r="B16" t="s">
        <v>109</v>
      </c>
    </row>
    <row r="17" spans="1:13">
      <c r="A17" s="62"/>
    </row>
    <row r="18" spans="1:13">
      <c r="A18" s="62"/>
    </row>
    <row r="23" spans="1:13" ht="17.649999999999999">
      <c r="I23" s="251" t="s">
        <v>144</v>
      </c>
      <c r="J23" s="251"/>
      <c r="L23" s="218"/>
    </row>
    <row r="24" spans="1:13">
      <c r="I24" s="251" t="s">
        <v>145</v>
      </c>
      <c r="J24" s="251"/>
    </row>
    <row r="25" spans="1:13">
      <c r="I25" s="191" t="s">
        <v>146</v>
      </c>
      <c r="J25" s="191" t="s">
        <v>147</v>
      </c>
      <c r="K25" s="191" t="s">
        <v>148</v>
      </c>
      <c r="L25" s="191" t="s">
        <v>149</v>
      </c>
      <c r="M25" s="191" t="s">
        <v>150</v>
      </c>
    </row>
    <row r="26" spans="1:13">
      <c r="I26" s="191" t="s">
        <v>151</v>
      </c>
      <c r="J26" s="191" t="s">
        <v>152</v>
      </c>
      <c r="K26" s="191">
        <v>2600</v>
      </c>
      <c r="L26" s="219">
        <v>115</v>
      </c>
      <c r="M26" s="191">
        <v>22.61</v>
      </c>
    </row>
    <row r="27" spans="1:13">
      <c r="I27" s="191" t="s">
        <v>153</v>
      </c>
      <c r="J27" s="191" t="s">
        <v>154</v>
      </c>
      <c r="K27" s="191">
        <v>2500</v>
      </c>
      <c r="L27" s="219">
        <v>119</v>
      </c>
      <c r="M27" s="191">
        <v>21.01</v>
      </c>
    </row>
    <row r="28" spans="1:13">
      <c r="I28" s="191" t="s">
        <v>155</v>
      </c>
      <c r="J28" s="191" t="s">
        <v>156</v>
      </c>
      <c r="K28" s="191" t="s">
        <v>157</v>
      </c>
      <c r="L28" s="191" t="s">
        <v>157</v>
      </c>
      <c r="M28" s="191" t="s">
        <v>157</v>
      </c>
    </row>
    <row r="29" spans="1:13">
      <c r="I29" s="191" t="s">
        <v>158</v>
      </c>
      <c r="J29" s="191" t="s">
        <v>159</v>
      </c>
      <c r="K29" s="191">
        <v>3000</v>
      </c>
      <c r="L29" s="219">
        <v>127</v>
      </c>
      <c r="M29" s="191">
        <v>23.62</v>
      </c>
    </row>
    <row r="30" spans="1:13">
      <c r="I30" s="191" t="s">
        <v>160</v>
      </c>
      <c r="J30" s="191" t="s">
        <v>161</v>
      </c>
      <c r="K30" s="191">
        <v>3000</v>
      </c>
      <c r="L30" s="219">
        <v>128</v>
      </c>
      <c r="M30" s="191">
        <v>23.44</v>
      </c>
    </row>
    <row r="31" spans="1:13">
      <c r="I31" s="191" t="s">
        <v>162</v>
      </c>
      <c r="J31" s="191" t="s">
        <v>163</v>
      </c>
      <c r="K31" s="191">
        <v>3435</v>
      </c>
      <c r="L31" s="219">
        <v>162.37</v>
      </c>
      <c r="M31" s="191">
        <v>21.16</v>
      </c>
    </row>
    <row r="32" spans="1:13">
      <c r="I32" s="191" t="s">
        <v>164</v>
      </c>
      <c r="J32" s="191" t="s">
        <v>165</v>
      </c>
      <c r="K32" s="191">
        <v>2700</v>
      </c>
      <c r="L32" s="219">
        <v>125</v>
      </c>
      <c r="M32" s="191">
        <v>21.6</v>
      </c>
    </row>
    <row r="33" spans="9:13">
      <c r="I33" s="191" t="s">
        <v>166</v>
      </c>
      <c r="J33" s="191" t="s">
        <v>167</v>
      </c>
      <c r="K33" s="191">
        <v>2700</v>
      </c>
      <c r="L33" s="219">
        <v>125</v>
      </c>
      <c r="M33" s="191">
        <v>21.6</v>
      </c>
    </row>
    <row r="34" spans="9:13">
      <c r="I34" s="191" t="s">
        <v>168</v>
      </c>
      <c r="J34" s="191" t="s">
        <v>169</v>
      </c>
      <c r="K34" s="191">
        <v>3250</v>
      </c>
      <c r="L34" s="219">
        <v>133</v>
      </c>
      <c r="M34" s="191">
        <v>24.44</v>
      </c>
    </row>
    <row r="35" spans="9:13">
      <c r="I35" s="191" t="s">
        <v>170</v>
      </c>
      <c r="J35" s="191" t="s">
        <v>171</v>
      </c>
      <c r="K35" s="191">
        <v>3000</v>
      </c>
      <c r="L35" s="219">
        <v>110</v>
      </c>
      <c r="M35" s="191">
        <v>27.27</v>
      </c>
    </row>
    <row r="36" spans="9:13">
      <c r="I36" s="191" t="s">
        <v>172</v>
      </c>
      <c r="J36" s="191" t="s">
        <v>173</v>
      </c>
      <c r="K36" s="191">
        <v>3400</v>
      </c>
      <c r="L36" s="219">
        <v>150</v>
      </c>
      <c r="M36" s="191">
        <v>22.67</v>
      </c>
    </row>
    <row r="37" spans="9:13">
      <c r="I37" s="191" t="s">
        <v>174</v>
      </c>
      <c r="J37" s="191" t="s">
        <v>175</v>
      </c>
      <c r="K37" s="191">
        <v>3000</v>
      </c>
      <c r="L37" s="219">
        <v>130</v>
      </c>
      <c r="M37" s="191">
        <v>23.08</v>
      </c>
    </row>
    <row r="38" spans="9:13">
      <c r="I38" s="191" t="s">
        <v>176</v>
      </c>
      <c r="J38" s="191" t="s">
        <v>177</v>
      </c>
      <c r="K38" s="191" t="s">
        <v>157</v>
      </c>
      <c r="L38" s="191" t="s">
        <v>157</v>
      </c>
      <c r="M38" s="191" t="s">
        <v>157</v>
      </c>
    </row>
    <row r="39" spans="9:13">
      <c r="I39" s="191" t="s">
        <v>178</v>
      </c>
      <c r="J39" s="191" t="s">
        <v>179</v>
      </c>
      <c r="K39" s="191">
        <v>2750</v>
      </c>
      <c r="L39" s="219">
        <v>135</v>
      </c>
      <c r="M39" s="191">
        <v>19.78</v>
      </c>
    </row>
    <row r="40" spans="9:13">
      <c r="I40" s="191" t="s">
        <v>180</v>
      </c>
      <c r="J40" s="191" t="s">
        <v>181</v>
      </c>
      <c r="K40" s="191">
        <v>2850</v>
      </c>
      <c r="L40" s="219">
        <v>140</v>
      </c>
      <c r="M40" s="191">
        <v>20.36</v>
      </c>
    </row>
    <row r="41" spans="9:13">
      <c r="I41" s="191" t="s">
        <v>182</v>
      </c>
      <c r="J41" s="191" t="s">
        <v>183</v>
      </c>
      <c r="K41" s="191">
        <v>2760</v>
      </c>
      <c r="L41" s="219">
        <v>115</v>
      </c>
      <c r="M41" s="191">
        <v>24</v>
      </c>
    </row>
    <row r="42" spans="9:13">
      <c r="I42" s="143" t="s">
        <v>99</v>
      </c>
      <c r="J42" s="143"/>
      <c r="K42" s="143"/>
      <c r="L42" s="220">
        <f>AVERAGE(L26:L41)</f>
        <v>129.59785714285712</v>
      </c>
    </row>
    <row r="43" spans="9:13">
      <c r="I43" s="143" t="s">
        <v>184</v>
      </c>
      <c r="J43" s="143"/>
      <c r="K43" s="143"/>
      <c r="L43" s="220">
        <f>MEDIAN(L26:L41)</f>
        <v>127.5</v>
      </c>
    </row>
    <row r="44" spans="9:13">
      <c r="I44" s="143" t="s">
        <v>185</v>
      </c>
      <c r="J44" s="143"/>
      <c r="K44" s="143"/>
      <c r="L44" s="220">
        <f>MAX(L26:L40)</f>
        <v>162.37</v>
      </c>
    </row>
    <row r="45" spans="9:13">
      <c r="I45" s="143" t="s">
        <v>186</v>
      </c>
      <c r="J45" s="143"/>
      <c r="K45" s="143"/>
      <c r="L45" s="220">
        <f>MIN(L26:L41)</f>
        <v>110</v>
      </c>
    </row>
  </sheetData>
  <mergeCells count="6">
    <mergeCell ref="I23:J23"/>
    <mergeCell ref="I24:J24"/>
    <mergeCell ref="A1:D1"/>
    <mergeCell ref="K1:N1"/>
    <mergeCell ref="P1:R1"/>
    <mergeCell ref="F1:I1"/>
  </mergeCells>
  <hyperlinks>
    <hyperlink ref="A13" r:id="rId1" xr:uid="{00000000-0004-0000-0400-000000000000}"/>
    <hyperlink ref="A12" r:id="rId2" xr:uid="{00000000-0004-0000-0400-000001000000}"/>
    <hyperlink ref="A15" r:id="rId3" display="S&amp;P" xr:uid="{00000000-0004-0000-0400-000002000000}"/>
    <hyperlink ref="A14" r:id="rId4" xr:uid="{00000000-0004-0000-0400-000003000000}"/>
  </hyperlinks>
  <printOptions gridLines="1" gridLinesSet="0"/>
  <pageMargins left="0.75" right="0.75" top="1" bottom="1" header="0.5" footer="0.5"/>
  <pageSetup orientation="portrait" horizontalDpi="4294967292" verticalDpi="4294967292"/>
  <headerFooter alignWithMargins="0">
    <oddHeader>&amp;A</oddHeader>
    <oddFooter>Page &amp;P</oddFooter>
  </headerFooter>
  <drawing r:id="rId5"/>
  <legacyDrawing r:id="rId6"/>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76"/>
  <sheetViews>
    <sheetView topLeftCell="A11" workbookViewId="0">
      <selection activeCell="A26" sqref="A26:E45"/>
    </sheetView>
  </sheetViews>
  <sheetFormatPr defaultColWidth="10.73046875" defaultRowHeight="13.15"/>
  <cols>
    <col min="1" max="1" width="15.3984375" style="10" bestFit="1" customWidth="1"/>
    <col min="2" max="2" width="15.86328125" style="10" bestFit="1" customWidth="1"/>
    <col min="3" max="5" width="10.73046875" style="10"/>
    <col min="6" max="6" width="11.73046875" style="10" bestFit="1" customWidth="1"/>
    <col min="7" max="16384" width="10.73046875" style="10"/>
  </cols>
  <sheetData>
    <row r="1" spans="1:12" ht="26.25">
      <c r="A1" s="14" t="s">
        <v>5</v>
      </c>
      <c r="B1" s="10" t="s">
        <v>3</v>
      </c>
      <c r="C1" s="10" t="s">
        <v>4</v>
      </c>
      <c r="D1" s="44" t="s">
        <v>80</v>
      </c>
      <c r="E1" s="15" t="s">
        <v>37</v>
      </c>
      <c r="F1" s="15" t="s">
        <v>40</v>
      </c>
      <c r="G1" s="15" t="s">
        <v>41</v>
      </c>
      <c r="H1" t="s">
        <v>101</v>
      </c>
      <c r="I1" s="156" t="s">
        <v>107</v>
      </c>
    </row>
    <row r="2" spans="1:12">
      <c r="A2" s="15">
        <v>2001</v>
      </c>
      <c r="B2" s="11">
        <f t="shared" ref="B2:B14" si="0">I27</f>
        <v>1.3709726589378883E-2</v>
      </c>
      <c r="C2" s="11">
        <f t="shared" ref="C2:C14" si="1">J27</f>
        <v>1.2490273410621118E-2</v>
      </c>
      <c r="D2" s="46">
        <f t="shared" ref="D2:D14" si="2">K27</f>
        <v>2.6200000000000001E-2</v>
      </c>
      <c r="E2" s="49">
        <f>(D27+E27)/C27</f>
        <v>0.77425889317889307</v>
      </c>
      <c r="F2" s="49">
        <f t="shared" ref="F2:F14" si="3">C27/M27</f>
        <v>0.11924493554327809</v>
      </c>
      <c r="G2" s="49">
        <f t="shared" ref="G2:G15" si="4">C27/O27</f>
        <v>5.2722288568016501E-2</v>
      </c>
      <c r="H2"/>
      <c r="I2" s="76"/>
      <c r="J2" s="29"/>
    </row>
    <row r="3" spans="1:12">
      <c r="A3" s="15">
        <v>2002</v>
      </c>
      <c r="B3" s="11">
        <f t="shared" si="0"/>
        <v>1.8140074106067151E-2</v>
      </c>
      <c r="C3" s="11">
        <f t="shared" si="1"/>
        <v>1.5759925893932849E-2</v>
      </c>
      <c r="D3" s="46">
        <f t="shared" si="2"/>
        <v>3.39E-2</v>
      </c>
      <c r="E3" s="49">
        <f t="shared" ref="E3:E13" si="5">(D28+E28)/C28</f>
        <v>0.64782576020851435</v>
      </c>
      <c r="F3" s="49">
        <f t="shared" si="3"/>
        <v>0.13606407187398409</v>
      </c>
      <c r="G3" s="49">
        <f t="shared" si="4"/>
        <v>6.8248862271898483E-2</v>
      </c>
      <c r="H3"/>
      <c r="I3" s="74"/>
      <c r="J3" s="29"/>
    </row>
    <row r="4" spans="1:12">
      <c r="A4" s="15">
        <v>2003</v>
      </c>
      <c r="B4" s="11">
        <f t="shared" si="0"/>
        <v>1.6080438164959392E-2</v>
      </c>
      <c r="C4" s="11">
        <f t="shared" si="1"/>
        <v>1.2319561835040609E-2</v>
      </c>
      <c r="D4" s="46">
        <f t="shared" si="2"/>
        <v>2.8400000000000002E-2</v>
      </c>
      <c r="E4" s="49">
        <f t="shared" si="5"/>
        <v>0.57740435180106064</v>
      </c>
      <c r="F4" s="49">
        <f t="shared" si="3"/>
        <v>0.1679049490359818</v>
      </c>
      <c r="G4" s="49">
        <f t="shared" si="4"/>
        <v>7.694039194721515E-2</v>
      </c>
      <c r="H4"/>
    </row>
    <row r="5" spans="1:12">
      <c r="A5" s="15">
        <v>2004</v>
      </c>
      <c r="B5" s="11">
        <f t="shared" si="0"/>
        <v>1.568585385173939E-2</v>
      </c>
      <c r="C5" s="11">
        <f t="shared" si="1"/>
        <v>1.7814146148260612E-2</v>
      </c>
      <c r="D5" s="46">
        <f t="shared" si="2"/>
        <v>3.3500000000000002E-2</v>
      </c>
      <c r="E5" s="49">
        <f t="shared" si="5"/>
        <v>0.59987174940898347</v>
      </c>
      <c r="F5" s="49">
        <f t="shared" si="3"/>
        <v>0.18432878503145683</v>
      </c>
      <c r="G5" s="49">
        <f t="shared" si="4"/>
        <v>8.5869799662509363E-2</v>
      </c>
      <c r="H5"/>
    </row>
    <row r="6" spans="1:12">
      <c r="A6" s="15">
        <v>2005</v>
      </c>
      <c r="B6" s="11">
        <f t="shared" si="0"/>
        <v>1.7899999999999999E-2</v>
      </c>
      <c r="C6" s="11">
        <f t="shared" si="1"/>
        <v>3.1099999999999999E-2</v>
      </c>
      <c r="D6" s="46">
        <f t="shared" si="2"/>
        <v>4.9000000000000002E-2</v>
      </c>
      <c r="E6" s="49">
        <f t="shared" si="5"/>
        <v>0.80008122956180494</v>
      </c>
      <c r="F6" s="49">
        <f t="shared" si="3"/>
        <v>0.18432790837854129</v>
      </c>
      <c r="G6" s="49">
        <f t="shared" si="4"/>
        <v>8.7439381462164886E-2</v>
      </c>
      <c r="H6"/>
    </row>
    <row r="7" spans="1:12">
      <c r="A7" s="15">
        <v>2006</v>
      </c>
      <c r="B7" s="11">
        <f t="shared" si="0"/>
        <v>1.765653232775552E-2</v>
      </c>
      <c r="C7" s="11">
        <f t="shared" si="1"/>
        <v>3.3924895906984054E-2</v>
      </c>
      <c r="D7" s="46">
        <f t="shared" si="2"/>
        <v>5.16E-2</v>
      </c>
      <c r="E7" s="49">
        <f t="shared" si="5"/>
        <v>0.83399384023405299</v>
      </c>
      <c r="F7" s="49">
        <f t="shared" si="3"/>
        <v>0.19361673950470137</v>
      </c>
      <c r="G7" s="49">
        <f t="shared" si="4"/>
        <v>9.209352132786007E-2</v>
      </c>
      <c r="H7"/>
    </row>
    <row r="8" spans="1:12">
      <c r="A8" s="16">
        <v>2007</v>
      </c>
      <c r="B8" s="11">
        <f t="shared" si="0"/>
        <v>1.9163040099471559E-2</v>
      </c>
      <c r="C8" s="11">
        <f t="shared" si="1"/>
        <v>4.5781784271059993E-2</v>
      </c>
      <c r="D8" s="46">
        <f t="shared" si="2"/>
        <v>6.4944824370531548E-2</v>
      </c>
      <c r="E8" s="49">
        <f t="shared" si="5"/>
        <v>1.1553474959136625</v>
      </c>
      <c r="F8" s="49">
        <f t="shared" si="3"/>
        <v>0.1636432125934297</v>
      </c>
      <c r="G8" s="49">
        <f t="shared" si="4"/>
        <v>8.0520544737971683E-2</v>
      </c>
      <c r="H8"/>
    </row>
    <row r="9" spans="1:12">
      <c r="A9" s="10">
        <v>2008</v>
      </c>
      <c r="B9" s="11">
        <f t="shared" si="0"/>
        <v>3.1493886907794193E-2</v>
      </c>
      <c r="C9" s="11">
        <f t="shared" si="1"/>
        <v>4.3255221599592462E-2</v>
      </c>
      <c r="D9" s="46">
        <f t="shared" si="2"/>
        <v>7.4749108507386655E-2</v>
      </c>
      <c r="E9" s="49">
        <f t="shared" si="5"/>
        <v>1.3637069735264997</v>
      </c>
      <c r="F9" s="49">
        <f t="shared" si="3"/>
        <v>9.3487414792575385E-2</v>
      </c>
      <c r="G9" s="49">
        <f t="shared" si="4"/>
        <v>4.7493429004470192E-2</v>
      </c>
      <c r="H9"/>
    </row>
    <row r="10" spans="1:12">
      <c r="A10" s="10">
        <v>2009</v>
      </c>
      <c r="B10" s="11">
        <f t="shared" si="0"/>
        <v>1.9702860596293312E-2</v>
      </c>
      <c r="C10" s="11">
        <f t="shared" si="1"/>
        <v>1.3864826752618856E-2</v>
      </c>
      <c r="D10" s="46">
        <f t="shared" si="2"/>
        <v>3.3567687348912169E-2</v>
      </c>
      <c r="E10" s="49">
        <f t="shared" si="5"/>
        <v>0.65824782613501698</v>
      </c>
      <c r="F10" s="49">
        <f t="shared" si="3"/>
        <v>0.12597204067616369</v>
      </c>
      <c r="G10" s="49">
        <f t="shared" si="4"/>
        <v>6.2593571114046676E-2</v>
      </c>
      <c r="H10"/>
      <c r="J10" s="254"/>
      <c r="K10" s="254"/>
      <c r="L10" s="254"/>
    </row>
    <row r="11" spans="1:12">
      <c r="A11" s="10">
        <v>2010</v>
      </c>
      <c r="B11" s="11">
        <f t="shared" si="0"/>
        <v>1.8007874015748031E-2</v>
      </c>
      <c r="C11" s="11">
        <f t="shared" si="1"/>
        <v>2.6143482064741905E-2</v>
      </c>
      <c r="D11" s="46">
        <f t="shared" si="2"/>
        <v>4.4151356080489937E-2</v>
      </c>
      <c r="E11" s="49">
        <f t="shared" si="5"/>
        <v>0.66284483062035782</v>
      </c>
      <c r="F11" s="49">
        <f t="shared" si="3"/>
        <v>0.16310993418746833</v>
      </c>
      <c r="G11" s="49">
        <f t="shared" si="4"/>
        <v>8.7014781190597371E-2</v>
      </c>
      <c r="H11"/>
      <c r="J11" s="254"/>
      <c r="K11" s="254"/>
      <c r="L11" s="254"/>
    </row>
    <row r="12" spans="1:12">
      <c r="A12" s="10">
        <v>2011</v>
      </c>
      <c r="B12" s="11">
        <f t="shared" si="0"/>
        <v>2.1097935880544576E-2</v>
      </c>
      <c r="C12" s="11">
        <f t="shared" si="1"/>
        <v>3.5580149319279761E-2</v>
      </c>
      <c r="D12" s="46">
        <f t="shared" si="2"/>
        <v>5.6678085199824341E-2</v>
      </c>
      <c r="E12" s="49">
        <f t="shared" si="5"/>
        <v>0.73909539555473958</v>
      </c>
      <c r="F12" s="49">
        <f t="shared" si="3"/>
        <v>0.1665227751493594</v>
      </c>
      <c r="G12" s="49">
        <f t="shared" si="4"/>
        <v>9.1600733261780157E-2</v>
      </c>
      <c r="H12"/>
      <c r="J12" s="254"/>
      <c r="K12" s="254"/>
      <c r="L12" s="254"/>
    </row>
    <row r="13" spans="1:12">
      <c r="A13" s="10">
        <v>2012</v>
      </c>
      <c r="B13" s="32">
        <f t="shared" si="0"/>
        <v>2.1911526514700005E-2</v>
      </c>
      <c r="C13" s="33">
        <f t="shared" si="1"/>
        <v>3.1306702244545591E-2</v>
      </c>
      <c r="D13" s="34">
        <f t="shared" si="2"/>
        <v>5.3218228759245596E-2</v>
      </c>
      <c r="E13" s="49">
        <f t="shared" si="5"/>
        <v>0.78392176899554311</v>
      </c>
      <c r="F13" s="49">
        <f t="shared" si="3"/>
        <v>0.1579084711485142</v>
      </c>
      <c r="G13" s="49">
        <f t="shared" si="4"/>
        <v>8.863297234453528E-2</v>
      </c>
      <c r="H13"/>
    </row>
    <row r="14" spans="1:12">
      <c r="A14" s="10">
        <v>2013</v>
      </c>
      <c r="B14" s="32">
        <f t="shared" si="0"/>
        <v>1.888160315090134E-2</v>
      </c>
      <c r="C14" s="32">
        <f t="shared" si="1"/>
        <v>2.8798502456231469E-2</v>
      </c>
      <c r="D14" s="34">
        <f t="shared" si="2"/>
        <v>4.768010560713281E-2</v>
      </c>
      <c r="E14" s="49">
        <f t="shared" ref="E14:E18" si="6">(D39+E39)/C39</f>
        <v>0.83997331300038114</v>
      </c>
      <c r="F14" s="49">
        <f t="shared" si="3"/>
        <v>0.15730842466677661</v>
      </c>
      <c r="G14" s="49">
        <f t="shared" si="4"/>
        <v>9.3946150195646533E-2</v>
      </c>
      <c r="H14"/>
    </row>
    <row r="15" spans="1:12">
      <c r="A15" s="10">
        <v>2014</v>
      </c>
      <c r="B15" s="32">
        <f t="shared" ref="B15:D16" si="7">I40</f>
        <v>1.9206906001644285E-2</v>
      </c>
      <c r="C15" s="32">
        <f t="shared" si="7"/>
        <v>3.0324472458207727E-2</v>
      </c>
      <c r="D15" s="34">
        <f t="shared" si="7"/>
        <v>4.9531378459852012E-2</v>
      </c>
      <c r="E15" s="49">
        <f t="shared" si="6"/>
        <v>0.87792833256705682</v>
      </c>
      <c r="F15" s="49">
        <f t="shared" ref="F15:F20" si="8">C40/M40</f>
        <v>0.16227089852481</v>
      </c>
      <c r="G15" s="49">
        <f t="shared" si="4"/>
        <v>9.9852147302547878E-2</v>
      </c>
      <c r="H15"/>
    </row>
    <row r="16" spans="1:12">
      <c r="A16" s="10">
        <v>2015</v>
      </c>
      <c r="B16" s="32">
        <f t="shared" si="7"/>
        <v>2.1238392516414375E-2</v>
      </c>
      <c r="C16" s="32">
        <f t="shared" si="7"/>
        <v>3.1771969822988931E-2</v>
      </c>
      <c r="D16" s="32">
        <f t="shared" si="7"/>
        <v>5.3010362339403302E-2</v>
      </c>
      <c r="E16" s="49">
        <f t="shared" si="6"/>
        <v>1.0783240445859872</v>
      </c>
      <c r="F16" s="49">
        <f t="shared" si="8"/>
        <v>0.13821943435677342</v>
      </c>
      <c r="G16" s="49">
        <f>C41/O41</f>
        <v>8.9146771002457562E-2</v>
      </c>
      <c r="H16"/>
    </row>
    <row r="17" spans="1:19">
      <c r="A17" s="10">
        <v>2016</v>
      </c>
      <c r="B17" s="32">
        <f t="shared" ref="B17:D17" si="9">I42</f>
        <v>2.0412538748090511E-2</v>
      </c>
      <c r="C17" s="32">
        <f t="shared" si="9"/>
        <v>2.7836092227155374E-2</v>
      </c>
      <c r="D17" s="34">
        <f t="shared" si="9"/>
        <v>4.8248630975245885E-2</v>
      </c>
      <c r="E17" s="49">
        <f t="shared" si="6"/>
        <v>1.0165631469979297</v>
      </c>
      <c r="F17" s="49">
        <f t="shared" si="8"/>
        <v>0.14353834308176527</v>
      </c>
      <c r="G17" s="49">
        <f>C42/O42</f>
        <v>9.2345395765981858E-2</v>
      </c>
      <c r="H17"/>
      <c r="I17" s="29"/>
    </row>
    <row r="18" spans="1:19">
      <c r="A18" s="10">
        <v>2017</v>
      </c>
      <c r="B18" s="32">
        <f t="shared" ref="B18:D18" si="10">I43</f>
        <v>1.830109851474224E-2</v>
      </c>
      <c r="C18" s="32">
        <f t="shared" si="10"/>
        <v>2.2759489977969862E-2</v>
      </c>
      <c r="D18" s="34">
        <f t="shared" si="10"/>
        <v>4.1060588492712102E-2</v>
      </c>
      <c r="E18" s="49">
        <f t="shared" si="6"/>
        <v>0.88169624929724522</v>
      </c>
      <c r="F18" s="49">
        <f t="shared" si="8"/>
        <v>0.16191367898152123</v>
      </c>
      <c r="G18" s="49">
        <f>C43/O43</f>
        <v>0.10109859772485527</v>
      </c>
      <c r="H18"/>
      <c r="I18" s="29"/>
    </row>
    <row r="19" spans="1:19" s="156" customFormat="1">
      <c r="A19" s="156">
        <v>2018</v>
      </c>
      <c r="B19" s="32">
        <f t="shared" ref="B19:D20" si="11">I44</f>
        <v>2.1696551449029659E-2</v>
      </c>
      <c r="C19" s="32">
        <f t="shared" si="11"/>
        <v>3.8338951273510585E-2</v>
      </c>
      <c r="D19" s="34">
        <f t="shared" si="11"/>
        <v>6.003550272254024E-2</v>
      </c>
      <c r="E19" s="49">
        <f>(D44+E44)/C44</f>
        <v>0.98507658070428061</v>
      </c>
      <c r="F19" s="49">
        <f t="shared" si="8"/>
        <v>0.18484731161980353</v>
      </c>
      <c r="G19" s="49">
        <f>C44/O44</f>
        <v>0.11522826177133849</v>
      </c>
      <c r="H19"/>
      <c r="I19" s="29"/>
    </row>
    <row r="20" spans="1:19" s="176" customFormat="1" ht="13.5" thickBot="1">
      <c r="A20" s="176">
        <v>2019</v>
      </c>
      <c r="B20" s="32">
        <f t="shared" si="11"/>
        <v>1.810708250020119E-2</v>
      </c>
      <c r="C20" s="32">
        <f t="shared" si="11"/>
        <v>2.7179195116968657E-2</v>
      </c>
      <c r="D20" s="34">
        <f t="shared" si="11"/>
        <v>4.5286277617169843E-2</v>
      </c>
      <c r="E20" s="49">
        <f>(D45+E45)/C45</f>
        <v>0.9308436187810154</v>
      </c>
      <c r="F20" s="49">
        <f t="shared" si="8"/>
        <v>0.18456588619337264</v>
      </c>
      <c r="G20" s="49">
        <f>C45/O45</f>
        <v>0.11287774330690567</v>
      </c>
      <c r="H20"/>
      <c r="I20" s="29"/>
    </row>
    <row r="21" spans="1:19" ht="13.5" thickBot="1">
      <c r="A21" s="13" t="s">
        <v>23</v>
      </c>
      <c r="B21" s="12"/>
      <c r="C21" s="45"/>
      <c r="D21" s="47">
        <f>AVERAGE(D11:D20)</f>
        <v>4.9890051625361607E-2</v>
      </c>
      <c r="E21" s="47">
        <f t="shared" ref="E21:G21" si="12">AVERAGE(E11:E20)</f>
        <v>0.87962672811045373</v>
      </c>
      <c r="F21" s="47">
        <f t="shared" si="12"/>
        <v>0.16202051579101645</v>
      </c>
      <c r="G21" s="47">
        <f t="shared" si="12"/>
        <v>9.7174355386664621E-2</v>
      </c>
      <c r="H21"/>
    </row>
    <row r="22" spans="1:19" ht="13.5" thickBot="1">
      <c r="A22" s="16" t="s">
        <v>24</v>
      </c>
      <c r="B22" s="12"/>
      <c r="C22" s="12"/>
      <c r="D22" s="48">
        <f>AVERAGE(D16:D20)</f>
        <v>4.952827242941428E-2</v>
      </c>
      <c r="E22" s="48">
        <f t="shared" ref="E22:G22" si="13">AVERAGE(E16:E20)</f>
        <v>0.97850072807329158</v>
      </c>
      <c r="F22" s="48">
        <f t="shared" si="13"/>
        <v>0.16261693084664722</v>
      </c>
      <c r="G22" s="48">
        <f t="shared" si="13"/>
        <v>0.10213935391430777</v>
      </c>
      <c r="H22"/>
    </row>
    <row r="23" spans="1:19" ht="13.5" thickBot="1">
      <c r="A23" s="24"/>
      <c r="B23" s="24"/>
      <c r="C23" s="24"/>
      <c r="D23" s="24"/>
    </row>
    <row r="24" spans="1:19" ht="13.5" thickBot="1">
      <c r="A24" s="38" t="s">
        <v>30</v>
      </c>
      <c r="B24" s="24"/>
      <c r="C24" s="24"/>
      <c r="D24" s="78">
        <v>2584.59</v>
      </c>
      <c r="E24" s="29" t="s">
        <v>108</v>
      </c>
      <c r="J24" s="39" t="s">
        <v>34</v>
      </c>
      <c r="M24" s="10" t="s">
        <v>35</v>
      </c>
      <c r="N24" s="40">
        <v>42460</v>
      </c>
    </row>
    <row r="25" spans="1:19">
      <c r="A25" s="24"/>
      <c r="B25" s="24"/>
      <c r="C25" s="24"/>
      <c r="D25" s="24"/>
    </row>
    <row r="26" spans="1:19" s="85" customFormat="1" ht="51">
      <c r="A26" s="84" t="s">
        <v>6</v>
      </c>
      <c r="B26" s="84" t="s">
        <v>12</v>
      </c>
      <c r="C26" s="84" t="s">
        <v>36</v>
      </c>
      <c r="D26" s="84" t="s">
        <v>9</v>
      </c>
      <c r="E26" s="84" t="s">
        <v>10</v>
      </c>
      <c r="F26" s="84" t="s">
        <v>79</v>
      </c>
      <c r="G26" s="84" t="s">
        <v>11</v>
      </c>
      <c r="H26" s="84" t="s">
        <v>90</v>
      </c>
      <c r="I26" s="84" t="s">
        <v>7</v>
      </c>
      <c r="J26" s="84" t="s">
        <v>8</v>
      </c>
      <c r="K26" s="84" t="s">
        <v>80</v>
      </c>
      <c r="L26" s="84" t="s">
        <v>81</v>
      </c>
      <c r="M26" s="84" t="s">
        <v>38</v>
      </c>
      <c r="N26" s="84" t="s">
        <v>40</v>
      </c>
      <c r="O26" s="84" t="s">
        <v>39</v>
      </c>
      <c r="P26" s="85" t="s">
        <v>56</v>
      </c>
      <c r="Q26" s="85" t="s">
        <v>57</v>
      </c>
    </row>
    <row r="27" spans="1:19" ht="15.75">
      <c r="A27" s="15">
        <v>2001</v>
      </c>
      <c r="B27" s="17">
        <v>1148.0899999999999</v>
      </c>
      <c r="C27" s="41">
        <v>38.85</v>
      </c>
      <c r="D27" s="18">
        <f t="shared" ref="D27:D33" si="14">I27*B27</f>
        <v>15.74</v>
      </c>
      <c r="E27" s="18">
        <f t="shared" ref="E27:E33" si="15">J27*B27</f>
        <v>14.339957999999999</v>
      </c>
      <c r="F27" s="18"/>
      <c r="G27" s="18">
        <f t="shared" ref="G27:G38" si="16">D27+E27</f>
        <v>30.079957999999998</v>
      </c>
      <c r="H27" s="18"/>
      <c r="I27" s="11">
        <v>1.3709726589378883E-2</v>
      </c>
      <c r="J27" s="11">
        <v>1.2490273410621118E-2</v>
      </c>
      <c r="K27" s="11">
        <v>2.6200000000000001E-2</v>
      </c>
      <c r="L27" s="11"/>
      <c r="M27" s="15">
        <v>325.8</v>
      </c>
      <c r="N27" s="49">
        <f>C27/M27</f>
        <v>0.11924493554327809</v>
      </c>
      <c r="O27" s="15">
        <v>736.88</v>
      </c>
      <c r="P27" s="154">
        <v>1.6036700000000001E-2</v>
      </c>
      <c r="Q27" s="59">
        <f>C27*(1+P28)*(1+P29)*(1+P30)*(1+P31)*(1+P32)*(1+P33)*(1+P34)*(1+P35)*(1+P36)*(1+P37)*(1+P38)*(1+P39)*(1+P40)*(1+P41)*(1+P42)*(1+P43)*(1+P46)</f>
        <v>55.478385900756535</v>
      </c>
      <c r="S27"/>
    </row>
    <row r="28" spans="1:19" ht="15.75">
      <c r="A28" s="15">
        <v>2002</v>
      </c>
      <c r="B28" s="17">
        <v>879.82</v>
      </c>
      <c r="C28" s="42">
        <v>46.04</v>
      </c>
      <c r="D28" s="18">
        <f t="shared" si="14"/>
        <v>15.96</v>
      </c>
      <c r="E28" s="18">
        <f t="shared" si="15"/>
        <v>13.865898</v>
      </c>
      <c r="F28" s="18"/>
      <c r="G28" s="18">
        <f t="shared" si="16"/>
        <v>29.825898000000002</v>
      </c>
      <c r="H28" s="18"/>
      <c r="I28" s="11">
        <v>1.8140074106067151E-2</v>
      </c>
      <c r="J28" s="11">
        <v>1.5759925893932849E-2</v>
      </c>
      <c r="K28" s="11">
        <v>3.39E-2</v>
      </c>
      <c r="L28" s="11"/>
      <c r="M28" s="15">
        <v>338.37</v>
      </c>
      <c r="N28" s="49">
        <f t="shared" ref="N28:N46" si="17">C28/M28</f>
        <v>0.13606407187398409</v>
      </c>
      <c r="O28" s="15">
        <v>674.59</v>
      </c>
      <c r="P28" s="154">
        <v>2.48027E-2</v>
      </c>
      <c r="Q28" s="59">
        <f>C28*(1+P29)*(1+P30)*(1+P31)*(1+P32)*(1+P33)*(1+P34)*(1+P35)*(1+P36)*(1+P37)*(1+P38)*(1+P39)*(1+P40)*(1+P41)*(1+P42)*(1+P43)*(1+P46)</f>
        <v>64.154606866150459</v>
      </c>
      <c r="S28"/>
    </row>
    <row r="29" spans="1:19" ht="15.75">
      <c r="A29" s="15">
        <v>2003</v>
      </c>
      <c r="B29" s="17">
        <v>1111.9100000000001</v>
      </c>
      <c r="C29" s="42">
        <v>54.69</v>
      </c>
      <c r="D29" s="18">
        <f t="shared" si="14"/>
        <v>17.88</v>
      </c>
      <c r="E29" s="18">
        <f t="shared" si="15"/>
        <v>13.698244000000004</v>
      </c>
      <c r="F29" s="18"/>
      <c r="G29" s="18">
        <f t="shared" si="16"/>
        <v>31.578244000000005</v>
      </c>
      <c r="H29" s="18"/>
      <c r="I29" s="11">
        <v>1.6080438164959392E-2</v>
      </c>
      <c r="J29" s="11">
        <v>1.2319561835040609E-2</v>
      </c>
      <c r="K29" s="11">
        <v>2.8400000000000002E-2</v>
      </c>
      <c r="L29" s="11"/>
      <c r="M29" s="15">
        <v>325.72000000000003</v>
      </c>
      <c r="N29" s="49">
        <f t="shared" si="17"/>
        <v>0.1679049490359818</v>
      </c>
      <c r="O29" s="15">
        <v>710.81</v>
      </c>
      <c r="P29" s="154">
        <v>2.0352000000000002E-2</v>
      </c>
      <c r="Q29" s="59">
        <f>C29*(1+P30)*(1+P31)*(1+P32)*(1+P33)*(1+P34)*(1+P35)*(1+P36)*(1+P37)*(1+P38)*(1+P39)*(1+P40)*(1+P41)*(1+P42)*(1+P43)*(1+P46)</f>
        <v>74.687932294679101</v>
      </c>
      <c r="S29"/>
    </row>
    <row r="30" spans="1:19" ht="15.75">
      <c r="A30" s="15">
        <v>2004</v>
      </c>
      <c r="B30" s="17">
        <v>1211.92</v>
      </c>
      <c r="C30" s="42">
        <v>67.680000000000007</v>
      </c>
      <c r="D30" s="18">
        <f t="shared" si="14"/>
        <v>19.010000000000002</v>
      </c>
      <c r="E30" s="18">
        <f t="shared" si="15"/>
        <v>21.589320000000001</v>
      </c>
      <c r="F30" s="18"/>
      <c r="G30" s="18">
        <f t="shared" si="16"/>
        <v>40.599320000000006</v>
      </c>
      <c r="H30" s="18"/>
      <c r="I30" s="11">
        <v>1.568585385173939E-2</v>
      </c>
      <c r="J30" s="11">
        <v>1.7814146148260612E-2</v>
      </c>
      <c r="K30" s="11">
        <v>3.3500000000000002E-2</v>
      </c>
      <c r="L30" s="11"/>
      <c r="M30" s="15">
        <v>367.17</v>
      </c>
      <c r="N30" s="49">
        <f t="shared" si="17"/>
        <v>0.18432878503145683</v>
      </c>
      <c r="O30" s="15">
        <v>788.17</v>
      </c>
      <c r="P30" s="154">
        <v>3.34232E-2</v>
      </c>
      <c r="Q30" s="59">
        <f>C30*(1+P31)*(1+P32)*(1+P33)*(1+P34)*(1+P35)*(1+P36)*(1+P37)*(1+P38)*(1+P39)*(1+P40)*(1+P41)*(1+P42)*(1+P43)*(1+P46)</f>
        <v>89.438530683166235</v>
      </c>
      <c r="S30"/>
    </row>
    <row r="31" spans="1:19" ht="15.75">
      <c r="A31" s="15">
        <v>2005</v>
      </c>
      <c r="B31" s="17">
        <v>1248.29</v>
      </c>
      <c r="C31" s="42">
        <v>76.45</v>
      </c>
      <c r="D31" s="18">
        <f t="shared" si="14"/>
        <v>22.344390999999998</v>
      </c>
      <c r="E31" s="18">
        <f t="shared" si="15"/>
        <v>38.821818999999998</v>
      </c>
      <c r="F31" s="18"/>
      <c r="G31" s="18">
        <f t="shared" si="16"/>
        <v>61.166209999999992</v>
      </c>
      <c r="H31" s="18"/>
      <c r="I31" s="11">
        <v>1.7899999999999999E-2</v>
      </c>
      <c r="J31" s="11">
        <v>3.1099999999999999E-2</v>
      </c>
      <c r="K31" s="11">
        <v>4.9000000000000002E-2</v>
      </c>
      <c r="L31" s="11"/>
      <c r="M31" s="15">
        <v>414.75</v>
      </c>
      <c r="N31" s="49">
        <f t="shared" si="17"/>
        <v>0.18432790837854129</v>
      </c>
      <c r="O31" s="15">
        <v>874.32</v>
      </c>
      <c r="P31" s="154">
        <v>3.3385499999999999E-2</v>
      </c>
      <c r="Q31" s="59">
        <f>C31*(1+P32)*(1+P33)*(1+P34)*(1+P35)*(1+P36)*(1+P37)*(1+P38)*(1+P39)*(1+P40)*(1+P41)*(1+P42)*(1+P43)*(1+P46)</f>
        <v>97.764105766210122</v>
      </c>
      <c r="S31"/>
    </row>
    <row r="32" spans="1:19" ht="15.75">
      <c r="A32" s="15">
        <v>2006</v>
      </c>
      <c r="B32" s="17">
        <v>1418.3</v>
      </c>
      <c r="C32" s="42">
        <v>87.72</v>
      </c>
      <c r="D32" s="18">
        <f t="shared" si="14"/>
        <v>25.042259800455653</v>
      </c>
      <c r="E32" s="18">
        <f t="shared" si="15"/>
        <v>48.115679864875482</v>
      </c>
      <c r="F32" s="18"/>
      <c r="G32" s="18">
        <f t="shared" si="16"/>
        <v>73.157939665331128</v>
      </c>
      <c r="H32" s="18"/>
      <c r="I32" s="11">
        <v>1.765653232775552E-2</v>
      </c>
      <c r="J32" s="11">
        <v>3.3924895906984054E-2</v>
      </c>
      <c r="K32" s="11">
        <v>5.16E-2</v>
      </c>
      <c r="L32" s="11"/>
      <c r="M32" s="15">
        <v>453.06</v>
      </c>
      <c r="N32" s="49">
        <f t="shared" si="17"/>
        <v>0.19361673950470137</v>
      </c>
      <c r="O32" s="15">
        <v>952.51</v>
      </c>
      <c r="P32" s="154">
        <v>2.52398E-2</v>
      </c>
      <c r="Q32" s="59">
        <f>C32*(1+P33)*(1+P34)*(1+P35)*(1+P36)*(1+P37)*(1+P38)*(1+P39)*(1+P40)*(1+P41)*(1+P42)*(1+P43)*(1+P46)</f>
        <v>109.41455748166167</v>
      </c>
      <c r="S32"/>
    </row>
    <row r="33" spans="1:22" ht="15.75">
      <c r="A33" s="15">
        <v>2007</v>
      </c>
      <c r="B33" s="22">
        <v>1468.36</v>
      </c>
      <c r="C33" s="42">
        <v>82.54</v>
      </c>
      <c r="D33" s="18">
        <f t="shared" si="14"/>
        <v>28.138241560460056</v>
      </c>
      <c r="E33" s="18">
        <f t="shared" si="15"/>
        <v>67.224140752253646</v>
      </c>
      <c r="F33" s="18"/>
      <c r="G33" s="18">
        <f t="shared" si="16"/>
        <v>95.362382312713706</v>
      </c>
      <c r="H33" s="18"/>
      <c r="I33" s="11">
        <v>1.9163040099471559E-2</v>
      </c>
      <c r="J33" s="11">
        <v>4.5781784271059993E-2</v>
      </c>
      <c r="K33" s="11">
        <f>G33/B33</f>
        <v>6.4944824370531548E-2</v>
      </c>
      <c r="L33" s="11"/>
      <c r="M33" s="15">
        <v>504.39</v>
      </c>
      <c r="N33" s="49">
        <f t="shared" si="17"/>
        <v>0.1636432125934297</v>
      </c>
      <c r="O33" s="15">
        <v>1025.08</v>
      </c>
      <c r="P33" s="154">
        <v>4.1088100000000002E-2</v>
      </c>
      <c r="Q33" s="59">
        <f>C33*(1+P34)*(1+P35)*(1+P36)*(1+P37)*(1+P38)*(1+P39)*(1+P40)*(1+P41)*(1+P42)*(1+P43)*(1+P46)</f>
        <v>98.890248310425093</v>
      </c>
      <c r="S33"/>
    </row>
    <row r="34" spans="1:22" ht="15.75">
      <c r="A34" s="15">
        <v>2008</v>
      </c>
      <c r="B34" s="19">
        <v>903.25</v>
      </c>
      <c r="C34" s="41">
        <v>49.51</v>
      </c>
      <c r="D34" s="18">
        <f>F60*E60</f>
        <v>28.446853349465105</v>
      </c>
      <c r="E34" s="18">
        <f>G60*E60</f>
        <v>39.070278909831892</v>
      </c>
      <c r="F34" s="18"/>
      <c r="G34" s="18">
        <f t="shared" si="16"/>
        <v>67.517132259297</v>
      </c>
      <c r="H34" s="18"/>
      <c r="I34" s="11">
        <f t="shared" ref="I34:I39" si="18">D34/B34</f>
        <v>3.1493886907794193E-2</v>
      </c>
      <c r="J34" s="11">
        <f t="shared" ref="J34:J39" si="19">E34/B34</f>
        <v>4.3255221599592462E-2</v>
      </c>
      <c r="K34" s="11">
        <f t="shared" ref="K34:K39" si="20">I34+J34</f>
        <v>7.4749108507386655E-2</v>
      </c>
      <c r="L34" s="11"/>
      <c r="M34" s="15">
        <v>529.59</v>
      </c>
      <c r="N34" s="49">
        <f t="shared" si="17"/>
        <v>9.3487414792575385E-2</v>
      </c>
      <c r="O34" s="15">
        <v>1042.46</v>
      </c>
      <c r="P34" s="154">
        <v>-2.2230000000000001E-4</v>
      </c>
      <c r="Q34" s="59">
        <f>C34*(1+P35)*(1+P36)*(1+P37)*(1+P38)*(1+P39)*(1+P40)*(1+P41)*(1+P42)*(1+P43)*(1+P46)</f>
        <v>59.330564927849103</v>
      </c>
      <c r="S34"/>
    </row>
    <row r="35" spans="1:22" ht="15.75">
      <c r="A35" s="15">
        <v>2009</v>
      </c>
      <c r="B35" s="19">
        <v>1115</v>
      </c>
      <c r="C35" s="43">
        <v>56.86</v>
      </c>
      <c r="D35" s="18">
        <f>F59*E59</f>
        <v>21.968689564867041</v>
      </c>
      <c r="E35" s="18">
        <f>G59*E59</f>
        <v>15.459281829170026</v>
      </c>
      <c r="F35" s="18"/>
      <c r="G35" s="18">
        <f t="shared" si="16"/>
        <v>37.427971394037066</v>
      </c>
      <c r="H35" s="18"/>
      <c r="I35" s="11">
        <f t="shared" si="18"/>
        <v>1.9702860596293312E-2</v>
      </c>
      <c r="J35" s="11">
        <f t="shared" si="19"/>
        <v>1.3864826752618856E-2</v>
      </c>
      <c r="K35" s="11">
        <f t="shared" si="20"/>
        <v>3.3567687348912169E-2</v>
      </c>
      <c r="L35" s="11"/>
      <c r="M35" s="15">
        <v>451.37</v>
      </c>
      <c r="N35" s="49">
        <f t="shared" si="17"/>
        <v>0.12597204067616369</v>
      </c>
      <c r="O35" s="15">
        <v>908.4</v>
      </c>
      <c r="P35" s="154">
        <v>2.8141199999999998E-2</v>
      </c>
      <c r="Q35" s="59">
        <f>C35*(1+P36)*(1+P37)*(1+P38)*(1+P39)*(1+P40)*(1+P41)*(1+P42)*(1+P43)*(1+P46)</f>
        <v>66.273460781271027</v>
      </c>
      <c r="S35"/>
    </row>
    <row r="36" spans="1:22" ht="15.75">
      <c r="A36" s="15">
        <v>2010</v>
      </c>
      <c r="B36" s="20">
        <v>1257.6400000000001</v>
      </c>
      <c r="C36" s="43">
        <v>83.77</v>
      </c>
      <c r="D36" s="20">
        <f>F58*E58</f>
        <v>22.647422677165356</v>
      </c>
      <c r="E36" s="20">
        <f>G58*E58</f>
        <v>32.879088783902013</v>
      </c>
      <c r="F36" s="20"/>
      <c r="G36" s="18">
        <f t="shared" si="16"/>
        <v>55.526511461067372</v>
      </c>
      <c r="H36" s="18"/>
      <c r="I36" s="11">
        <f t="shared" si="18"/>
        <v>1.8007874015748031E-2</v>
      </c>
      <c r="J36" s="11">
        <f t="shared" si="19"/>
        <v>2.6143482064741905E-2</v>
      </c>
      <c r="K36" s="11">
        <f t="shared" si="20"/>
        <v>4.4151356080489937E-2</v>
      </c>
      <c r="L36" s="11"/>
      <c r="M36" s="15">
        <v>513.58000000000004</v>
      </c>
      <c r="N36" s="49">
        <f t="shared" si="17"/>
        <v>0.16310993418746833</v>
      </c>
      <c r="O36" s="15">
        <v>962.71</v>
      </c>
      <c r="P36" s="154">
        <v>1.4377899999999999E-2</v>
      </c>
      <c r="Q36" s="59">
        <f>C36*(1+P37)*(1+P38)*(1+P39)*(1+P40)*(1+P41)*(1+P42)*(1+P43)*(1+P46)</f>
        <v>96.25460834551312</v>
      </c>
      <c r="S36"/>
    </row>
    <row r="37" spans="1:22" ht="15.75">
      <c r="A37" s="15">
        <v>2011</v>
      </c>
      <c r="B37" s="20">
        <v>1257.5999999999999</v>
      </c>
      <c r="C37" s="41">
        <v>96.44</v>
      </c>
      <c r="D37" s="20">
        <f>F57*E57</f>
        <v>26.532764163372857</v>
      </c>
      <c r="E37" s="20">
        <f>G57*E57</f>
        <v>44.74559578392622</v>
      </c>
      <c r="F37" s="20"/>
      <c r="G37" s="20">
        <f t="shared" si="16"/>
        <v>71.27835994729908</v>
      </c>
      <c r="H37" s="20"/>
      <c r="I37" s="11">
        <f t="shared" si="18"/>
        <v>2.1097935880544576E-2</v>
      </c>
      <c r="J37" s="11">
        <f t="shared" si="19"/>
        <v>3.5580149319279761E-2</v>
      </c>
      <c r="K37" s="11">
        <f t="shared" si="20"/>
        <v>5.6678085199824341E-2</v>
      </c>
      <c r="L37" s="11"/>
      <c r="M37" s="15">
        <v>579.14</v>
      </c>
      <c r="N37" s="49">
        <f t="shared" si="17"/>
        <v>0.1665227751493594</v>
      </c>
      <c r="O37" s="15">
        <v>1052.83</v>
      </c>
      <c r="P37" s="154">
        <v>3.0620699999999997E-2</v>
      </c>
      <c r="Q37" s="59">
        <f>C37*(1+P38)*(1+P39)*(1+P40)*(1+P41)*(1+P42)*(1+P43)*(1+P46)</f>
        <v>107.52052009819951</v>
      </c>
      <c r="S37"/>
    </row>
    <row r="38" spans="1:22" ht="15.75">
      <c r="A38" s="15">
        <v>2012</v>
      </c>
      <c r="B38" s="22">
        <v>1426.19</v>
      </c>
      <c r="C38" s="43">
        <v>96.82</v>
      </c>
      <c r="D38" s="37">
        <v>31.25</v>
      </c>
      <c r="E38" s="37">
        <f>G56*E56</f>
        <v>44.649305674148479</v>
      </c>
      <c r="F38" s="37"/>
      <c r="G38" s="37">
        <f t="shared" si="16"/>
        <v>75.899305674148479</v>
      </c>
      <c r="H38" s="37"/>
      <c r="I38" s="35">
        <f t="shared" si="18"/>
        <v>2.1911526514700005E-2</v>
      </c>
      <c r="J38" s="35">
        <f t="shared" si="19"/>
        <v>3.1306702244545591E-2</v>
      </c>
      <c r="K38" s="35">
        <f t="shared" si="20"/>
        <v>5.3218228759245596E-2</v>
      </c>
      <c r="L38" s="35"/>
      <c r="M38" s="15">
        <v>613.14</v>
      </c>
      <c r="N38" s="49">
        <f t="shared" si="17"/>
        <v>0.1579084711485142</v>
      </c>
      <c r="O38" s="15">
        <v>1092.3699999999999</v>
      </c>
      <c r="P38" s="154">
        <v>1.7819499999999999E-2</v>
      </c>
      <c r="Q38" s="59">
        <f>C38*(1+P39)*(1+P40)*(1+P41)*(1+P42)*(1+P43)*(1+P46)</f>
        <v>106.05434498025151</v>
      </c>
      <c r="S38"/>
    </row>
    <row r="39" spans="1:22" ht="15.75">
      <c r="A39" s="15">
        <v>2013</v>
      </c>
      <c r="B39" s="22">
        <v>1848.36</v>
      </c>
      <c r="C39" s="43">
        <v>104.92</v>
      </c>
      <c r="D39" s="37">
        <v>34.9</v>
      </c>
      <c r="E39" s="37">
        <v>53.23</v>
      </c>
      <c r="F39" s="37"/>
      <c r="G39" s="37">
        <v>88.13</v>
      </c>
      <c r="H39" s="37"/>
      <c r="I39" s="35">
        <f t="shared" si="18"/>
        <v>1.888160315090134E-2</v>
      </c>
      <c r="J39" s="35">
        <f t="shared" si="19"/>
        <v>2.8798502456231469E-2</v>
      </c>
      <c r="K39" s="35">
        <f t="shared" si="20"/>
        <v>4.768010560713281E-2</v>
      </c>
      <c r="L39" s="35"/>
      <c r="M39" s="15">
        <v>666.97</v>
      </c>
      <c r="N39" s="49">
        <f t="shared" si="17"/>
        <v>0.15730842466677661</v>
      </c>
      <c r="O39" s="15">
        <v>1116.81</v>
      </c>
      <c r="P39" s="154">
        <v>1.5458000000000001E-2</v>
      </c>
      <c r="Q39" s="59">
        <f>C39*(1+P40)*(1+P41)*(1+P42)*(1+P43)*(1+P46)</f>
        <v>113.17739776721876</v>
      </c>
      <c r="S39"/>
    </row>
    <row r="40" spans="1:22" s="121" customFormat="1" ht="15.75">
      <c r="A40" s="112">
        <v>2014</v>
      </c>
      <c r="B40" s="113">
        <v>2058.9</v>
      </c>
      <c r="C40" s="114">
        <v>116.16</v>
      </c>
      <c r="D40" s="115">
        <f>F54*E54</f>
        <v>39.545098766785422</v>
      </c>
      <c r="E40" s="115">
        <f>G54*E54</f>
        <v>62.435056344203893</v>
      </c>
      <c r="F40" s="115">
        <v>9.58</v>
      </c>
      <c r="G40" s="115">
        <v>101.98</v>
      </c>
      <c r="H40" s="116">
        <f>G40-F40</f>
        <v>92.4</v>
      </c>
      <c r="I40" s="117">
        <f t="shared" ref="I40:I46" si="21">D40/B40</f>
        <v>1.9206906001644285E-2</v>
      </c>
      <c r="J40" s="117">
        <f t="shared" ref="J40:J46" si="22">E40/B40</f>
        <v>3.0324472458207727E-2</v>
      </c>
      <c r="K40" s="117">
        <f t="shared" ref="K40:K46" si="23">I40+J40</f>
        <v>4.9531378459852012E-2</v>
      </c>
      <c r="L40" s="117">
        <f t="shared" ref="L40:L46" si="24">H40/B40</f>
        <v>4.4878333090485209E-2</v>
      </c>
      <c r="M40" s="112">
        <v>715.84</v>
      </c>
      <c r="N40" s="118">
        <f t="shared" si="17"/>
        <v>0.16227089852481</v>
      </c>
      <c r="O40" s="112">
        <v>1163.32</v>
      </c>
      <c r="P40" s="154">
        <v>6.8852999999999996E-3</v>
      </c>
      <c r="Q40" s="122">
        <f>C40*(1+P41)*(1+P42)*(1+P43)*(1+P46)</f>
        <v>124.4451642360395</v>
      </c>
      <c r="R40" s="119"/>
      <c r="S40" s="120"/>
      <c r="U40" s="87"/>
    </row>
    <row r="41" spans="1:22" s="121" customFormat="1">
      <c r="A41" s="112">
        <v>2015</v>
      </c>
      <c r="B41" s="115">
        <v>2043.94</v>
      </c>
      <c r="C41" s="115">
        <v>100.48</v>
      </c>
      <c r="D41" s="115">
        <v>43.41</v>
      </c>
      <c r="E41" s="115">
        <v>64.94</v>
      </c>
      <c r="F41" s="115">
        <v>9.43</v>
      </c>
      <c r="G41" s="115">
        <f t="shared" ref="G41:G47" si="25">D41+E41</f>
        <v>108.35</v>
      </c>
      <c r="H41" s="115">
        <f>G41-F41</f>
        <v>98.919999999999987</v>
      </c>
      <c r="I41" s="117">
        <f t="shared" si="21"/>
        <v>2.1238392516414375E-2</v>
      </c>
      <c r="J41" s="117">
        <f t="shared" si="22"/>
        <v>3.1771969822988931E-2</v>
      </c>
      <c r="K41" s="117">
        <f t="shared" si="23"/>
        <v>5.3010362339403302E-2</v>
      </c>
      <c r="L41" s="117">
        <f t="shared" si="24"/>
        <v>4.8396723974284954E-2</v>
      </c>
      <c r="M41" s="112">
        <v>726.96</v>
      </c>
      <c r="N41" s="118">
        <f t="shared" si="17"/>
        <v>0.13821943435677342</v>
      </c>
      <c r="O41" s="112">
        <v>1127.1300000000001</v>
      </c>
      <c r="P41" s="154">
        <v>6.6690999999999999E-3</v>
      </c>
      <c r="Q41" s="122">
        <f>C41*(1+P42)*(1+P43)*(1+P46)</f>
        <v>106.93363011231166</v>
      </c>
      <c r="R41" s="119"/>
      <c r="S41" s="120"/>
      <c r="U41" s="87"/>
    </row>
    <row r="42" spans="1:22" s="121" customFormat="1">
      <c r="A42" s="112">
        <v>2016</v>
      </c>
      <c r="B42" s="115">
        <v>2238.8200000000002</v>
      </c>
      <c r="C42" s="116">
        <v>106.26</v>
      </c>
      <c r="D42" s="116">
        <v>45.7</v>
      </c>
      <c r="E42" s="116">
        <v>62.32</v>
      </c>
      <c r="F42" s="116">
        <f>F46</f>
        <v>9.7635149040300728</v>
      </c>
      <c r="G42" s="116">
        <f t="shared" si="25"/>
        <v>108.02000000000001</v>
      </c>
      <c r="H42" s="116">
        <v>98.66</v>
      </c>
      <c r="I42" s="157">
        <f t="shared" si="21"/>
        <v>2.0412538748090511E-2</v>
      </c>
      <c r="J42" s="157">
        <f t="shared" si="22"/>
        <v>2.7836092227155374E-2</v>
      </c>
      <c r="K42" s="157">
        <f t="shared" si="23"/>
        <v>4.8248630975245885E-2</v>
      </c>
      <c r="L42" s="117">
        <f t="shared" si="24"/>
        <v>4.40678571747617E-2</v>
      </c>
      <c r="M42" s="158">
        <v>740.29</v>
      </c>
      <c r="N42" s="118">
        <f>C42/M42</f>
        <v>0.14353834308176527</v>
      </c>
      <c r="O42" s="158">
        <v>1150.68</v>
      </c>
      <c r="P42" s="154">
        <v>2.0899999999999998E-2</v>
      </c>
      <c r="Q42" s="122">
        <f>C42*(1+P43)*(1+P46)</f>
        <v>110.76977959739999</v>
      </c>
      <c r="R42" s="119"/>
      <c r="S42" s="120"/>
      <c r="U42" s="87"/>
    </row>
    <row r="43" spans="1:22" s="121" customFormat="1">
      <c r="A43" s="112">
        <v>2017</v>
      </c>
      <c r="B43" s="115">
        <v>2673.61</v>
      </c>
      <c r="C43" s="116">
        <v>124.51</v>
      </c>
      <c r="D43" s="116">
        <v>48.93</v>
      </c>
      <c r="E43" s="116">
        <v>60.85</v>
      </c>
      <c r="F43" s="116">
        <v>9.41</v>
      </c>
      <c r="G43" s="116">
        <f t="shared" si="25"/>
        <v>109.78</v>
      </c>
      <c r="H43" s="116">
        <v>100.62</v>
      </c>
      <c r="I43" s="157">
        <f t="shared" si="21"/>
        <v>1.830109851474224E-2</v>
      </c>
      <c r="J43" s="157">
        <f t="shared" si="22"/>
        <v>2.2759489977969862E-2</v>
      </c>
      <c r="K43" s="157">
        <f t="shared" si="23"/>
        <v>4.1060588492712102E-2</v>
      </c>
      <c r="L43" s="117">
        <f t="shared" si="24"/>
        <v>3.7634509146808999E-2</v>
      </c>
      <c r="M43" s="158">
        <v>768.99</v>
      </c>
      <c r="N43" s="118">
        <f>C43/M43</f>
        <v>0.16191367898152123</v>
      </c>
      <c r="O43" s="158">
        <v>1231.57</v>
      </c>
      <c r="P43" s="154">
        <v>2.0899999999999998E-2</v>
      </c>
      <c r="Q43" s="122">
        <f>C43*(1+P46)</f>
        <v>127.13716099999999</v>
      </c>
      <c r="R43" s="119"/>
      <c r="S43" s="120"/>
      <c r="U43" s="87"/>
    </row>
    <row r="44" spans="1:22" s="121" customFormat="1">
      <c r="A44" s="112">
        <v>2018</v>
      </c>
      <c r="B44" s="115">
        <v>2506.85</v>
      </c>
      <c r="C44" s="116">
        <v>152.78</v>
      </c>
      <c r="D44" s="116">
        <v>54.39</v>
      </c>
      <c r="E44" s="116">
        <v>96.11</v>
      </c>
      <c r="F44" s="116">
        <v>8.81</v>
      </c>
      <c r="G44" s="116">
        <f t="shared" si="25"/>
        <v>150.5</v>
      </c>
      <c r="H44" s="116">
        <f>G44-F44</f>
        <v>141.69</v>
      </c>
      <c r="I44" s="157">
        <f t="shared" si="21"/>
        <v>2.1696551449029659E-2</v>
      </c>
      <c r="J44" s="157">
        <f t="shared" si="22"/>
        <v>3.8338951273510585E-2</v>
      </c>
      <c r="K44" s="157">
        <f t="shared" si="23"/>
        <v>6.003550272254024E-2</v>
      </c>
      <c r="L44" s="117">
        <f t="shared" si="24"/>
        <v>5.652113209805134E-2</v>
      </c>
      <c r="M44" s="158">
        <v>826.52</v>
      </c>
      <c r="N44" s="118">
        <f>C44/M44</f>
        <v>0.18484731161980353</v>
      </c>
      <c r="O44" s="158">
        <v>1325.89</v>
      </c>
      <c r="P44" s="154">
        <v>2.1100000000000001E-2</v>
      </c>
      <c r="Q44" s="122">
        <f>C44</f>
        <v>152.78</v>
      </c>
      <c r="R44" s="119"/>
      <c r="S44" s="120"/>
      <c r="U44" s="87"/>
    </row>
    <row r="45" spans="1:22" s="121" customFormat="1">
      <c r="A45" s="112">
        <v>2019</v>
      </c>
      <c r="B45" s="115">
        <v>3230.78</v>
      </c>
      <c r="C45" s="116">
        <v>157.18</v>
      </c>
      <c r="D45" s="116">
        <v>58.5</v>
      </c>
      <c r="E45" s="116">
        <v>87.81</v>
      </c>
      <c r="F45" s="116">
        <v>8.81</v>
      </c>
      <c r="G45" s="116">
        <f t="shared" si="25"/>
        <v>146.31</v>
      </c>
      <c r="H45" s="116">
        <f>G45-F45</f>
        <v>137.5</v>
      </c>
      <c r="I45" s="157">
        <f t="shared" ref="I45" si="26">D45/B45</f>
        <v>1.810708250020119E-2</v>
      </c>
      <c r="J45" s="157">
        <f t="shared" ref="J45" si="27">E45/B45</f>
        <v>2.7179195116968657E-2</v>
      </c>
      <c r="K45" s="157">
        <f t="shared" ref="K45" si="28">I45+J45</f>
        <v>4.5286277617169843E-2</v>
      </c>
      <c r="L45" s="117">
        <f t="shared" ref="L45" si="29">H45/B45</f>
        <v>4.2559381944917325E-2</v>
      </c>
      <c r="M45" s="158">
        <v>851.62</v>
      </c>
      <c r="N45" s="118">
        <f>C45/M45</f>
        <v>0.18456588619337264</v>
      </c>
      <c r="O45" s="158">
        <v>1392.48</v>
      </c>
      <c r="P45" s="154"/>
      <c r="Q45" s="122"/>
      <c r="R45" s="119"/>
      <c r="S45" s="120"/>
      <c r="U45" s="87"/>
    </row>
    <row r="46" spans="1:22" s="98" customFormat="1">
      <c r="A46" s="159" t="s">
        <v>84</v>
      </c>
      <c r="B46" s="160">
        <f>D24</f>
        <v>2584.59</v>
      </c>
      <c r="C46" s="160">
        <f>B72*B64</f>
        <v>157.45767189835576</v>
      </c>
      <c r="D46" s="160">
        <f>C72*E49</f>
        <v>58.598669656203285</v>
      </c>
      <c r="E46" s="160">
        <f>D72*E49</f>
        <v>87.960769805680115</v>
      </c>
      <c r="F46" s="160">
        <f>F47</f>
        <v>9.7635149040300728</v>
      </c>
      <c r="G46" s="160">
        <f t="shared" si="25"/>
        <v>146.55943946188341</v>
      </c>
      <c r="H46" s="160">
        <f>G46-F46</f>
        <v>136.79592455785334</v>
      </c>
      <c r="I46" s="161">
        <f t="shared" si="21"/>
        <v>2.2672327005909362E-2</v>
      </c>
      <c r="J46" s="161">
        <f t="shared" si="22"/>
        <v>3.4032774949094485E-2</v>
      </c>
      <c r="K46" s="161">
        <f t="shared" si="23"/>
        <v>5.6705101955003848E-2</v>
      </c>
      <c r="L46" s="162">
        <f t="shared" si="24"/>
        <v>5.2927514444400595E-2</v>
      </c>
      <c r="M46" s="163">
        <v>851.62</v>
      </c>
      <c r="N46" s="164">
        <f t="shared" si="17"/>
        <v>0.18489193759934683</v>
      </c>
      <c r="O46" s="163">
        <f>O44</f>
        <v>1325.89</v>
      </c>
      <c r="P46" s="165">
        <v>2.1100000000000001E-2</v>
      </c>
      <c r="Q46" s="166">
        <f>C46</f>
        <v>157.45767189835576</v>
      </c>
      <c r="R46" s="97" t="s">
        <v>34</v>
      </c>
      <c r="U46" s="99" t="s">
        <v>35</v>
      </c>
      <c r="V46" s="100">
        <v>42369</v>
      </c>
    </row>
    <row r="47" spans="1:22" s="76" customFormat="1">
      <c r="A47" s="106" t="s">
        <v>87</v>
      </c>
      <c r="B47" s="107"/>
      <c r="C47" s="108">
        <f>B76*F76</f>
        <v>120.35815184098385</v>
      </c>
      <c r="D47" s="108">
        <f>C76*F76</f>
        <v>52.493317492681527</v>
      </c>
      <c r="E47" s="108">
        <f>D76*F76</f>
        <v>82.252882340341301</v>
      </c>
      <c r="F47" s="108">
        <f>E76*F76</f>
        <v>9.7635149040300728</v>
      </c>
      <c r="G47" s="109">
        <f t="shared" si="25"/>
        <v>134.74619983302284</v>
      </c>
      <c r="H47" s="109">
        <f>G47-F47</f>
        <v>124.98268492899277</v>
      </c>
      <c r="Q47" s="110" t="s">
        <v>85</v>
      </c>
      <c r="T47" s="76" t="s">
        <v>35</v>
      </c>
      <c r="U47" s="111">
        <v>42369</v>
      </c>
    </row>
    <row r="48" spans="1:22">
      <c r="C48" s="10" t="s">
        <v>29</v>
      </c>
      <c r="D48" s="10" t="s">
        <v>27</v>
      </c>
      <c r="E48" s="10" t="s">
        <v>28</v>
      </c>
      <c r="F48" s="10" t="s">
        <v>14</v>
      </c>
      <c r="G48" s="10" t="s">
        <v>10</v>
      </c>
      <c r="M48" s="59"/>
    </row>
    <row r="49" spans="1:14" s="169" customFormat="1">
      <c r="B49" s="123">
        <v>2019</v>
      </c>
      <c r="C49" s="15">
        <v>26760</v>
      </c>
      <c r="D49" s="15">
        <v>3230</v>
      </c>
      <c r="E49" s="15">
        <f>D49/C49</f>
        <v>0.12070254110612855</v>
      </c>
      <c r="F49" s="144">
        <v>485.48</v>
      </c>
      <c r="G49" s="144">
        <v>728.74</v>
      </c>
      <c r="H49" s="73"/>
      <c r="M49" s="59"/>
    </row>
    <row r="50" spans="1:14" s="170" customFormat="1">
      <c r="B50" s="123">
        <v>2018</v>
      </c>
      <c r="C50" s="15">
        <v>21033</v>
      </c>
      <c r="D50" s="15">
        <v>2506.85</v>
      </c>
      <c r="E50" s="15">
        <f>D50/C50</f>
        <v>0.11918651642656777</v>
      </c>
      <c r="F50" s="15">
        <v>456.31</v>
      </c>
      <c r="G50" s="15">
        <v>806.41</v>
      </c>
      <c r="M50" s="59"/>
    </row>
    <row r="51" spans="1:14">
      <c r="B51" s="123">
        <v>2017</v>
      </c>
      <c r="C51" s="15">
        <v>22821</v>
      </c>
      <c r="D51" s="15">
        <v>2673.61</v>
      </c>
      <c r="E51" s="15">
        <f>D51/C51</f>
        <v>0.11715568993470926</v>
      </c>
      <c r="F51" s="15">
        <v>419.77</v>
      </c>
      <c r="G51" s="15">
        <v>519.4</v>
      </c>
      <c r="H51" s="29"/>
      <c r="M51" s="59"/>
    </row>
    <row r="52" spans="1:14">
      <c r="B52" s="123">
        <v>2016</v>
      </c>
      <c r="C52" s="124">
        <v>19268</v>
      </c>
      <c r="D52" s="124">
        <v>2238.8200000000002</v>
      </c>
      <c r="E52" s="15">
        <f>D52/C52</f>
        <v>0.11619368901806104</v>
      </c>
      <c r="F52" s="18">
        <v>397.21</v>
      </c>
      <c r="G52" s="18">
        <v>536.38</v>
      </c>
      <c r="H52" s="29"/>
      <c r="M52" s="59"/>
      <c r="N52" s="210"/>
    </row>
    <row r="53" spans="1:14">
      <c r="B53" s="123">
        <v>2015</v>
      </c>
      <c r="C53" s="124">
        <v>17956</v>
      </c>
      <c r="D53" s="124">
        <v>2043.94</v>
      </c>
      <c r="E53" s="15">
        <f>D53/C53</f>
        <v>0.11383047449320562</v>
      </c>
      <c r="F53" s="18">
        <v>382.46</v>
      </c>
      <c r="G53" s="18">
        <v>572.16</v>
      </c>
      <c r="M53" s="59"/>
    </row>
    <row r="54" spans="1:14">
      <c r="B54" s="123">
        <v>2014</v>
      </c>
      <c r="C54" s="15">
        <v>18245</v>
      </c>
      <c r="D54" s="15">
        <v>2058.9</v>
      </c>
      <c r="E54" s="15">
        <f t="shared" ref="E54:E62" si="30">D54/C54</f>
        <v>0.11284735543984654</v>
      </c>
      <c r="F54" s="18">
        <f>81.96+86.65+89.02+92.8</f>
        <v>350.43</v>
      </c>
      <c r="G54" s="18">
        <f>159.28+116.17+145.19+132.63</f>
        <v>553.27</v>
      </c>
    </row>
    <row r="55" spans="1:14">
      <c r="B55" s="15">
        <v>2013</v>
      </c>
      <c r="C55" s="15">
        <v>16495</v>
      </c>
      <c r="D55" s="15">
        <v>1848.36</v>
      </c>
      <c r="E55" s="15">
        <f t="shared" si="30"/>
        <v>0.11205577447711428</v>
      </c>
      <c r="F55" s="18">
        <f>70.86+76.67+79.26+84.98</f>
        <v>311.77000000000004</v>
      </c>
      <c r="G55" s="18">
        <f>99.97+118.05+128.16+129.41</f>
        <v>475.58999999999992</v>
      </c>
    </row>
    <row r="56" spans="1:14">
      <c r="B56" s="15">
        <v>2012</v>
      </c>
      <c r="C56" s="15">
        <v>12742</v>
      </c>
      <c r="D56" s="15">
        <v>1426.19</v>
      </c>
      <c r="E56" s="15">
        <f t="shared" si="30"/>
        <v>0.11192826871762675</v>
      </c>
      <c r="F56" s="18">
        <f>64.07+67.31+69.48+79.83</f>
        <v>280.69</v>
      </c>
      <c r="G56" s="18">
        <f>84.29+111.75+103.72+99.15</f>
        <v>398.90999999999997</v>
      </c>
    </row>
    <row r="57" spans="1:14">
      <c r="B57" s="15">
        <v>2011</v>
      </c>
      <c r="C57" s="15">
        <v>11385</v>
      </c>
      <c r="D57" s="15">
        <v>1257.5999999999999</v>
      </c>
      <c r="E57" s="15">
        <f t="shared" si="30"/>
        <v>0.11046113306982872</v>
      </c>
      <c r="F57" s="18">
        <f>56.08+59.03+59.2+65.89</f>
        <v>240.2</v>
      </c>
      <c r="G57" s="18">
        <f>89.84+109.24+118.41+87.59</f>
        <v>405.08000000000004</v>
      </c>
    </row>
    <row r="58" spans="1:14">
      <c r="B58" s="15">
        <v>2010</v>
      </c>
      <c r="C58" s="15">
        <v>11430</v>
      </c>
      <c r="D58" s="18">
        <f>B36</f>
        <v>1257.6400000000001</v>
      </c>
      <c r="E58" s="15">
        <f t="shared" si="30"/>
        <v>0.11002974628171479</v>
      </c>
      <c r="F58" s="18">
        <v>205.83</v>
      </c>
      <c r="G58" s="18">
        <v>298.82</v>
      </c>
    </row>
    <row r="59" spans="1:14">
      <c r="B59" s="15">
        <v>2009</v>
      </c>
      <c r="C59" s="15">
        <v>9928</v>
      </c>
      <c r="D59" s="18">
        <f>B35</f>
        <v>1115</v>
      </c>
      <c r="E59" s="15">
        <f t="shared" si="30"/>
        <v>0.11230862207896858</v>
      </c>
      <c r="F59" s="15">
        <f>51.73+47.63+47.21+49.04</f>
        <v>195.60999999999999</v>
      </c>
      <c r="G59" s="15">
        <f>30.78+24.2+34.85+47.82</f>
        <v>137.65</v>
      </c>
      <c r="K59"/>
    </row>
    <row r="60" spans="1:14">
      <c r="B60" s="15">
        <v>2008</v>
      </c>
      <c r="C60" s="15">
        <v>7852</v>
      </c>
      <c r="D60" s="18">
        <f>B34</f>
        <v>903.25</v>
      </c>
      <c r="E60" s="15">
        <f t="shared" si="30"/>
        <v>0.11503438614365767</v>
      </c>
      <c r="F60" s="15">
        <f>62.19+61.44+61.94+61.72</f>
        <v>247.29</v>
      </c>
      <c r="G60" s="15">
        <f>48.12+89.71+87.91+113.9</f>
        <v>339.64</v>
      </c>
      <c r="K60"/>
    </row>
    <row r="61" spans="1:14">
      <c r="B61" s="15">
        <v>2007</v>
      </c>
      <c r="C61" s="15">
        <v>12868</v>
      </c>
      <c r="D61" s="18">
        <f>B33</f>
        <v>1468.36</v>
      </c>
      <c r="E61" s="15">
        <f t="shared" si="30"/>
        <v>0.11410941871308672</v>
      </c>
      <c r="F61" s="15">
        <f>58.53+59.76+61.21+67.09</f>
        <v>246.59</v>
      </c>
      <c r="G61" s="15">
        <f>117.7+157.76+171.95+141.71</f>
        <v>589.12</v>
      </c>
      <c r="K61"/>
    </row>
    <row r="62" spans="1:14">
      <c r="B62" s="26">
        <v>2006</v>
      </c>
      <c r="C62" s="26">
        <v>12729</v>
      </c>
      <c r="D62" s="28">
        <f>B32</f>
        <v>1418.3</v>
      </c>
      <c r="E62" s="15">
        <f t="shared" si="30"/>
        <v>0.11142273548589834</v>
      </c>
      <c r="F62" s="26"/>
      <c r="G62" s="26"/>
      <c r="K62"/>
    </row>
    <row r="63" spans="1:14" ht="13.5" thickBot="1">
      <c r="B63" s="26" t="s">
        <v>13</v>
      </c>
      <c r="C63" s="26"/>
      <c r="D63" s="26"/>
      <c r="E63" s="61"/>
      <c r="F63" s="34"/>
      <c r="G63" s="34"/>
      <c r="K63"/>
    </row>
    <row r="64" spans="1:14" ht="13.5" thickBot="1">
      <c r="A64" s="10" t="s">
        <v>26</v>
      </c>
      <c r="B64" s="27">
        <f>E49</f>
        <v>0.12070254110612855</v>
      </c>
      <c r="K64"/>
    </row>
    <row r="65" spans="1:12">
      <c r="K65"/>
    </row>
    <row r="66" spans="1:12">
      <c r="A66" s="73" t="s">
        <v>82</v>
      </c>
      <c r="K66"/>
    </row>
    <row r="67" spans="1:12">
      <c r="A67" s="23" t="s">
        <v>17</v>
      </c>
      <c r="B67" s="21" t="s">
        <v>36</v>
      </c>
      <c r="C67" s="21" t="s">
        <v>15</v>
      </c>
      <c r="D67" s="21" t="s">
        <v>16</v>
      </c>
      <c r="E67" s="15" t="s">
        <v>78</v>
      </c>
      <c r="K67"/>
    </row>
    <row r="68" spans="1:12">
      <c r="A68" s="23" t="s">
        <v>21</v>
      </c>
      <c r="B68" s="59">
        <v>324.35000000000002</v>
      </c>
      <c r="C68" s="59">
        <v>126.35</v>
      </c>
      <c r="D68" s="59">
        <v>181.58</v>
      </c>
      <c r="E68" s="70"/>
      <c r="F68" s="29" t="s">
        <v>115</v>
      </c>
      <c r="L68"/>
    </row>
    <row r="69" spans="1:12">
      <c r="A69" s="23" t="s">
        <v>20</v>
      </c>
      <c r="B69" s="59">
        <v>330.42</v>
      </c>
      <c r="C69" s="59">
        <v>123.12</v>
      </c>
      <c r="D69" s="59">
        <v>175.89</v>
      </c>
      <c r="K69"/>
    </row>
    <row r="70" spans="1:12">
      <c r="A70" s="23" t="s">
        <v>19</v>
      </c>
      <c r="B70" s="59">
        <v>333.26</v>
      </c>
      <c r="C70" s="59">
        <v>118.68</v>
      </c>
      <c r="D70" s="59">
        <v>165.46</v>
      </c>
      <c r="K70"/>
    </row>
    <row r="71" spans="1:12">
      <c r="A71" s="23" t="s">
        <v>18</v>
      </c>
      <c r="B71" s="59">
        <v>316.48</v>
      </c>
      <c r="C71" s="59">
        <v>117.33</v>
      </c>
      <c r="D71" s="59">
        <v>205.81</v>
      </c>
      <c r="K71"/>
    </row>
    <row r="72" spans="1:12">
      <c r="A72" s="23" t="s">
        <v>22</v>
      </c>
      <c r="B72" s="22">
        <f>SUM(B68:B71)</f>
        <v>1304.51</v>
      </c>
      <c r="C72" s="22">
        <f>SUM(C68:C71)</f>
        <v>485.47999999999996</v>
      </c>
      <c r="D72" s="22">
        <f>SUM(D68:D71)</f>
        <v>728.74</v>
      </c>
      <c r="E72" s="15">
        <f>E76</f>
        <v>86.010999999999996</v>
      </c>
    </row>
    <row r="74" spans="1:12" customFormat="1">
      <c r="A74" s="72" t="s">
        <v>88</v>
      </c>
    </row>
    <row r="75" spans="1:12" customFormat="1">
      <c r="A75" s="71" t="s">
        <v>83</v>
      </c>
      <c r="B75" t="s">
        <v>36</v>
      </c>
      <c r="C75" t="s">
        <v>15</v>
      </c>
      <c r="D75" t="s">
        <v>16</v>
      </c>
      <c r="E75" t="s">
        <v>78</v>
      </c>
      <c r="F75" t="s">
        <v>89</v>
      </c>
    </row>
    <row r="76" spans="1:12">
      <c r="A76" s="86">
        <v>42521</v>
      </c>
      <c r="B76" s="76">
        <v>1060.2866999999999</v>
      </c>
      <c r="C76" s="76">
        <v>462.43619999999993</v>
      </c>
      <c r="D76" s="75">
        <v>724.601</v>
      </c>
      <c r="E76" s="76">
        <v>86.010999999999996</v>
      </c>
      <c r="F76" s="77">
        <v>0.11351472374498696</v>
      </c>
      <c r="H76" s="10" t="s">
        <v>118</v>
      </c>
    </row>
  </sheetData>
  <mergeCells count="1">
    <mergeCell ref="J10:L12"/>
  </mergeCells>
  <phoneticPr fontId="12" type="noConversion"/>
  <dataValidations count="1">
    <dataValidation allowBlank="1" showInputMessage="1" showErrorMessage="1" sqref="C2:C15 C21:C25" xr:uid="{00000000-0002-0000-0100-000000000000}"/>
  </dataValidations>
  <printOptions gridLines="1" gridLinesSet="0"/>
  <pageMargins left="0.75" right="0.75" top="1" bottom="1" header="0.5" footer="0.5"/>
  <pageSetup orientation="portrait" horizontalDpi="4294967292" verticalDpi="4294967292"/>
  <headerFooter alignWithMargins="0">
    <oddHeader>&amp;A</oddHeader>
    <oddFooter>Page &amp;P</oddFooter>
  </headerFooter>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1"/>
  <sheetViews>
    <sheetView workbookViewId="0">
      <selection activeCell="E64" sqref="E64"/>
    </sheetView>
  </sheetViews>
  <sheetFormatPr defaultColWidth="10.6640625" defaultRowHeight="13.15"/>
  <cols>
    <col min="2" max="3" width="11.59765625" customWidth="1"/>
  </cols>
  <sheetData>
    <row r="1" spans="1:5" s="54" customFormat="1">
      <c r="A1" s="136" t="s">
        <v>5</v>
      </c>
      <c r="B1" s="137" t="s">
        <v>48</v>
      </c>
      <c r="C1" s="137" t="s">
        <v>3</v>
      </c>
      <c r="D1" s="137" t="s">
        <v>49</v>
      </c>
      <c r="E1" s="138" t="s">
        <v>50</v>
      </c>
    </row>
    <row r="2" spans="1:5" s="55" customFormat="1">
      <c r="A2" s="127">
        <v>1960</v>
      </c>
      <c r="B2" s="79">
        <v>5.3400000000000003E-2</v>
      </c>
      <c r="C2" s="79">
        <v>3.4099999999999998E-2</v>
      </c>
      <c r="D2" s="80">
        <v>2.76E-2</v>
      </c>
      <c r="E2" s="133"/>
    </row>
    <row r="3" spans="1:5" s="55" customFormat="1">
      <c r="A3" s="127">
        <v>1961</v>
      </c>
      <c r="B3" s="79">
        <v>4.7100000000000003E-2</v>
      </c>
      <c r="C3" s="79">
        <v>2.8500000000000001E-2</v>
      </c>
      <c r="D3" s="80">
        <v>2.35E-2</v>
      </c>
      <c r="E3" s="133">
        <v>2.92E-2</v>
      </c>
    </row>
    <row r="4" spans="1:5" s="55" customFormat="1">
      <c r="A4" s="127">
        <v>1962</v>
      </c>
      <c r="B4" s="79">
        <v>5.8099999999999999E-2</v>
      </c>
      <c r="C4" s="79">
        <v>3.4000000000000002E-2</v>
      </c>
      <c r="D4" s="79">
        <v>3.85E-2</v>
      </c>
      <c r="E4" s="133">
        <v>3.56E-2</v>
      </c>
    </row>
    <row r="5" spans="1:5" s="55" customFormat="1">
      <c r="A5" s="127">
        <v>1963</v>
      </c>
      <c r="B5" s="79">
        <v>5.5100000000000003E-2</v>
      </c>
      <c r="C5" s="79">
        <v>3.1300000000000001E-2</v>
      </c>
      <c r="D5" s="79">
        <v>4.1399999999999999E-2</v>
      </c>
      <c r="E5" s="133">
        <v>3.3799999999999997E-2</v>
      </c>
    </row>
    <row r="6" spans="1:5" s="55" customFormat="1">
      <c r="A6" s="127">
        <v>1964</v>
      </c>
      <c r="B6" s="79">
        <v>5.62E-2</v>
      </c>
      <c r="C6" s="79">
        <v>3.0499999999999999E-2</v>
      </c>
      <c r="D6" s="79">
        <v>4.2099999999999999E-2</v>
      </c>
      <c r="E6" s="133">
        <v>3.3099999999999997E-2</v>
      </c>
    </row>
    <row r="7" spans="1:5" s="55" customFormat="1">
      <c r="A7" s="127">
        <v>1965</v>
      </c>
      <c r="B7" s="79">
        <v>5.7299999999999997E-2</v>
      </c>
      <c r="C7" s="79">
        <v>3.0599999999999999E-2</v>
      </c>
      <c r="D7" s="79">
        <v>4.65E-2</v>
      </c>
      <c r="E7" s="133">
        <v>3.32E-2</v>
      </c>
    </row>
    <row r="8" spans="1:5" s="55" customFormat="1">
      <c r="A8" s="127">
        <v>1966</v>
      </c>
      <c r="B8" s="79">
        <v>6.7400000000000002E-2</v>
      </c>
      <c r="C8" s="79">
        <v>3.5900000000000001E-2</v>
      </c>
      <c r="D8" s="79">
        <v>4.6399999999999997E-2</v>
      </c>
      <c r="E8" s="133">
        <v>3.6799999999999999E-2</v>
      </c>
    </row>
    <row r="9" spans="1:5" s="55" customFormat="1">
      <c r="A9" s="127">
        <v>1967</v>
      </c>
      <c r="B9" s="79">
        <v>5.6599999999999998E-2</v>
      </c>
      <c r="C9" s="79">
        <v>3.09E-2</v>
      </c>
      <c r="D9" s="79">
        <v>5.7000000000000002E-2</v>
      </c>
      <c r="E9" s="133">
        <v>3.2000000000000001E-2</v>
      </c>
    </row>
    <row r="10" spans="1:5" s="55" customFormat="1">
      <c r="A10" s="127">
        <v>1968</v>
      </c>
      <c r="B10" s="79">
        <v>5.5100000000000003E-2</v>
      </c>
      <c r="C10" s="79">
        <v>2.93E-2</v>
      </c>
      <c r="D10" s="79">
        <v>6.1600000000000002E-2</v>
      </c>
      <c r="E10" s="133">
        <v>0.03</v>
      </c>
    </row>
    <row r="11" spans="1:5" s="55" customFormat="1">
      <c r="A11" s="127">
        <v>1969</v>
      </c>
      <c r="B11" s="79">
        <v>6.6299999999999998E-2</v>
      </c>
      <c r="C11" s="79">
        <v>3.5200000000000002E-2</v>
      </c>
      <c r="D11" s="79">
        <v>7.8799999999999995E-2</v>
      </c>
      <c r="E11" s="133">
        <v>3.7400000000000003E-2</v>
      </c>
    </row>
    <row r="12" spans="1:5" s="55" customFormat="1">
      <c r="A12" s="127">
        <v>1970</v>
      </c>
      <c r="B12" s="79">
        <v>5.9799999999999999E-2</v>
      </c>
      <c r="C12" s="79">
        <v>3.4599999999999999E-2</v>
      </c>
      <c r="D12" s="79">
        <v>6.5000000000000002E-2</v>
      </c>
      <c r="E12" s="133">
        <v>3.4099999999999998E-2</v>
      </c>
    </row>
    <row r="13" spans="1:5" s="55" customFormat="1">
      <c r="A13" s="127">
        <v>1971</v>
      </c>
      <c r="B13" s="79">
        <v>5.4600000000000003E-2</v>
      </c>
      <c r="C13" s="79">
        <v>3.1E-2</v>
      </c>
      <c r="D13" s="79">
        <v>5.8900000000000001E-2</v>
      </c>
      <c r="E13" s="133">
        <v>3.09E-2</v>
      </c>
    </row>
    <row r="14" spans="1:5" s="55" customFormat="1">
      <c r="A14" s="127">
        <v>1972</v>
      </c>
      <c r="B14" s="79">
        <v>5.2299999999999999E-2</v>
      </c>
      <c r="C14" s="79">
        <v>2.7E-2</v>
      </c>
      <c r="D14" s="79">
        <v>6.4100000000000004E-2</v>
      </c>
      <c r="E14" s="133">
        <v>2.7199999999999998E-2</v>
      </c>
    </row>
    <row r="15" spans="1:5" s="55" customFormat="1">
      <c r="A15" s="127">
        <v>1973</v>
      </c>
      <c r="B15" s="79">
        <v>8.1600000000000006E-2</v>
      </c>
      <c r="C15" s="79">
        <v>3.6999999999999998E-2</v>
      </c>
      <c r="D15" s="79">
        <v>6.9000000000000006E-2</v>
      </c>
      <c r="E15" s="133">
        <v>4.2999999999999997E-2</v>
      </c>
    </row>
    <row r="16" spans="1:5" s="55" customFormat="1">
      <c r="A16" s="127">
        <v>1974</v>
      </c>
      <c r="B16" s="79">
        <v>0.13639999999999999</v>
      </c>
      <c r="C16" s="79">
        <v>5.4300000000000001E-2</v>
      </c>
      <c r="D16" s="79">
        <v>7.3999999999999996E-2</v>
      </c>
      <c r="E16" s="133">
        <v>5.5899999999999998E-2</v>
      </c>
    </row>
    <row r="17" spans="1:5" s="55" customFormat="1">
      <c r="A17" s="127">
        <v>1975</v>
      </c>
      <c r="B17" s="79">
        <v>8.5500000000000007E-2</v>
      </c>
      <c r="C17" s="79">
        <v>4.1399999999999999E-2</v>
      </c>
      <c r="D17" s="79">
        <v>7.7600000000000002E-2</v>
      </c>
      <c r="E17" s="133">
        <v>4.1300000000000003E-2</v>
      </c>
    </row>
    <row r="18" spans="1:5" s="55" customFormat="1">
      <c r="A18" s="127">
        <v>1976</v>
      </c>
      <c r="B18" s="79">
        <v>9.0700000000000003E-2</v>
      </c>
      <c r="C18" s="79">
        <v>3.9300000000000002E-2</v>
      </c>
      <c r="D18" s="79">
        <v>6.8099999999999994E-2</v>
      </c>
      <c r="E18" s="133">
        <v>4.5499999999999999E-2</v>
      </c>
    </row>
    <row r="19" spans="1:5" s="55" customFormat="1">
      <c r="A19" s="127">
        <v>1977</v>
      </c>
      <c r="B19" s="79">
        <v>0.1143</v>
      </c>
      <c r="C19" s="79">
        <v>5.11E-2</v>
      </c>
      <c r="D19" s="79">
        <v>7.7799999999999994E-2</v>
      </c>
      <c r="E19" s="133">
        <v>5.9200000000000003E-2</v>
      </c>
    </row>
    <row r="20" spans="1:5" s="55" customFormat="1">
      <c r="A20" s="127">
        <v>1978</v>
      </c>
      <c r="B20" s="79">
        <v>0.1211</v>
      </c>
      <c r="C20" s="79">
        <v>5.3900000000000003E-2</v>
      </c>
      <c r="D20" s="79">
        <v>9.1499999999999998E-2</v>
      </c>
      <c r="E20" s="133">
        <v>5.7200000000000001E-2</v>
      </c>
    </row>
    <row r="21" spans="1:5" s="55" customFormat="1">
      <c r="A21" s="127">
        <v>1979</v>
      </c>
      <c r="B21" s="79">
        <v>0.1348</v>
      </c>
      <c r="C21" s="79">
        <v>5.5300000000000002E-2</v>
      </c>
      <c r="D21" s="79">
        <v>0.1033</v>
      </c>
      <c r="E21" s="133">
        <v>6.4500000000000002E-2</v>
      </c>
    </row>
    <row r="22" spans="1:5" s="55" customFormat="1">
      <c r="A22" s="127">
        <v>1980</v>
      </c>
      <c r="B22" s="79">
        <v>0.1104</v>
      </c>
      <c r="C22" s="79">
        <v>4.7399999999999998E-2</v>
      </c>
      <c r="D22" s="79">
        <v>0.12429999999999999</v>
      </c>
      <c r="E22" s="133">
        <v>5.0299999999999997E-2</v>
      </c>
    </row>
    <row r="23" spans="1:5" s="55" customFormat="1">
      <c r="A23" s="127">
        <v>1981</v>
      </c>
      <c r="B23" s="79">
        <v>0.1239</v>
      </c>
      <c r="C23" s="79">
        <v>5.57E-2</v>
      </c>
      <c r="D23" s="79">
        <v>0.13980000000000001</v>
      </c>
      <c r="E23" s="133">
        <v>5.7299999999999997E-2</v>
      </c>
    </row>
    <row r="24" spans="1:5" s="55" customFormat="1">
      <c r="A24" s="127">
        <v>1982</v>
      </c>
      <c r="B24" s="79">
        <v>9.8299999999999998E-2</v>
      </c>
      <c r="C24" s="79">
        <v>4.9299999999999997E-2</v>
      </c>
      <c r="D24" s="79">
        <v>0.1047</v>
      </c>
      <c r="E24" s="133">
        <v>4.9000000000000002E-2</v>
      </c>
    </row>
    <row r="25" spans="1:5" s="55" customFormat="1">
      <c r="A25" s="127">
        <v>1983</v>
      </c>
      <c r="B25" s="79">
        <v>8.0600000000000005E-2</v>
      </c>
      <c r="C25" s="79">
        <v>4.3200000000000002E-2</v>
      </c>
      <c r="D25" s="79">
        <v>0.11799999999999999</v>
      </c>
      <c r="E25" s="133">
        <v>4.3099999999999999E-2</v>
      </c>
    </row>
    <row r="26" spans="1:5" s="55" customFormat="1">
      <c r="A26" s="127">
        <v>1984</v>
      </c>
      <c r="B26" s="79">
        <v>0.1007</v>
      </c>
      <c r="C26" s="79">
        <v>4.6800000000000001E-2</v>
      </c>
      <c r="D26" s="79">
        <v>0.11509999999999999</v>
      </c>
      <c r="E26" s="133">
        <v>5.11E-2</v>
      </c>
    </row>
    <row r="27" spans="1:5" s="55" customFormat="1">
      <c r="A27" s="127">
        <v>1985</v>
      </c>
      <c r="B27" s="79">
        <v>7.4200000000000002E-2</v>
      </c>
      <c r="C27" s="79">
        <v>3.8800000000000001E-2</v>
      </c>
      <c r="D27" s="79">
        <v>8.9899999999999994E-2</v>
      </c>
      <c r="E27" s="133">
        <v>3.8399999999999997E-2</v>
      </c>
    </row>
    <row r="28" spans="1:5" s="55" customFormat="1">
      <c r="A28" s="127">
        <v>1986</v>
      </c>
      <c r="B28" s="79">
        <v>5.96E-2</v>
      </c>
      <c r="C28" s="79">
        <v>3.3799999999999997E-2</v>
      </c>
      <c r="D28" s="79">
        <v>7.22E-2</v>
      </c>
      <c r="E28" s="133">
        <v>3.5799999999999998E-2</v>
      </c>
    </row>
    <row r="29" spans="1:5" s="55" customFormat="1">
      <c r="A29" s="127">
        <v>1987</v>
      </c>
      <c r="B29" s="79">
        <v>6.4899999999999999E-2</v>
      </c>
      <c r="C29" s="79">
        <v>3.7100000000000001E-2</v>
      </c>
      <c r="D29" s="79">
        <v>8.8599999999999998E-2</v>
      </c>
      <c r="E29" s="133">
        <v>3.9899999999999998E-2</v>
      </c>
    </row>
    <row r="30" spans="1:5" s="55" customFormat="1">
      <c r="A30" s="127">
        <v>1988</v>
      </c>
      <c r="B30" s="79">
        <v>8.2000000000000003E-2</v>
      </c>
      <c r="C30" s="79">
        <v>3.6799999999999999E-2</v>
      </c>
      <c r="D30" s="79">
        <v>9.1399999999999995E-2</v>
      </c>
      <c r="E30" s="133">
        <v>3.7699999999999997E-2</v>
      </c>
    </row>
    <row r="31" spans="1:5" s="55" customFormat="1">
      <c r="A31" s="127">
        <v>1989</v>
      </c>
      <c r="B31" s="79">
        <v>6.8000000000000005E-2</v>
      </c>
      <c r="C31" s="79">
        <v>3.32E-2</v>
      </c>
      <c r="D31" s="79">
        <v>7.9299999999999995E-2</v>
      </c>
      <c r="E31" s="133">
        <v>3.5099999999999999E-2</v>
      </c>
    </row>
    <row r="32" spans="1:5" s="55" customFormat="1">
      <c r="A32" s="127">
        <v>1990</v>
      </c>
      <c r="B32" s="79">
        <v>6.5799999999999997E-2</v>
      </c>
      <c r="C32" s="79">
        <v>3.7400000000000003E-2</v>
      </c>
      <c r="D32" s="79">
        <v>8.0699999999999994E-2</v>
      </c>
      <c r="E32" s="133">
        <v>3.8899999999999997E-2</v>
      </c>
    </row>
    <row r="33" spans="1:5" s="55" customFormat="1">
      <c r="A33" s="127">
        <v>1991</v>
      </c>
      <c r="B33" s="79">
        <v>4.58E-2</v>
      </c>
      <c r="C33" s="79">
        <v>3.1099999999999999E-2</v>
      </c>
      <c r="D33" s="79">
        <v>6.7000000000000004E-2</v>
      </c>
      <c r="E33" s="133">
        <v>3.4799999999999998E-2</v>
      </c>
    </row>
    <row r="34" spans="1:5" s="55" customFormat="1">
      <c r="A34" s="127">
        <v>1992</v>
      </c>
      <c r="B34" s="79">
        <v>4.1599999999999998E-2</v>
      </c>
      <c r="C34" s="79">
        <v>2.9000000000000001E-2</v>
      </c>
      <c r="D34" s="79">
        <v>6.6799999999999998E-2</v>
      </c>
      <c r="E34" s="133">
        <v>3.5499999999999997E-2</v>
      </c>
    </row>
    <row r="35" spans="1:5" s="55" customFormat="1">
      <c r="A35" s="127">
        <v>1993</v>
      </c>
      <c r="B35" s="79">
        <v>4.2500000000000003E-2</v>
      </c>
      <c r="C35" s="79">
        <v>2.7199999999999998E-2</v>
      </c>
      <c r="D35" s="79">
        <v>5.79E-2</v>
      </c>
      <c r="E35" s="133">
        <v>3.1699999999999999E-2</v>
      </c>
    </row>
    <row r="36" spans="1:5" s="55" customFormat="1">
      <c r="A36" s="127">
        <v>1994</v>
      </c>
      <c r="B36" s="79">
        <v>5.8900000000000001E-2</v>
      </c>
      <c r="C36" s="79">
        <v>2.9100000000000001E-2</v>
      </c>
      <c r="D36" s="79">
        <v>7.8200000000000006E-2</v>
      </c>
      <c r="E36" s="133">
        <v>3.5499999999999997E-2</v>
      </c>
    </row>
    <row r="37" spans="1:5" s="55" customFormat="1">
      <c r="A37" s="127">
        <v>1995</v>
      </c>
      <c r="B37" s="79">
        <v>5.74E-2</v>
      </c>
      <c r="C37" s="79">
        <v>2.3E-2</v>
      </c>
      <c r="D37" s="79">
        <v>5.57E-2</v>
      </c>
      <c r="E37" s="133">
        <v>3.2899999999999999E-2</v>
      </c>
    </row>
    <row r="38" spans="1:5" s="55" customFormat="1">
      <c r="A38" s="127">
        <v>1996</v>
      </c>
      <c r="B38" s="79">
        <v>4.8300000000000003E-2</v>
      </c>
      <c r="C38" s="79">
        <v>2.01E-2</v>
      </c>
      <c r="D38" s="79">
        <v>6.4100000000000004E-2</v>
      </c>
      <c r="E38" s="133">
        <v>3.2000000000000001E-2</v>
      </c>
    </row>
    <row r="39" spans="1:5" s="50" customFormat="1">
      <c r="A39" s="127">
        <v>1997</v>
      </c>
      <c r="B39" s="80">
        <v>4.0766408479412965E-2</v>
      </c>
      <c r="C39" s="79">
        <v>1.5994971301381864E-2</v>
      </c>
      <c r="D39" s="79">
        <v>5.74E-2</v>
      </c>
      <c r="E39" s="133">
        <v>2.7300000000000001E-2</v>
      </c>
    </row>
    <row r="40" spans="1:5" s="50" customFormat="1">
      <c r="A40" s="127">
        <v>1998</v>
      </c>
      <c r="B40" s="80">
        <v>3.110419906687403E-2</v>
      </c>
      <c r="C40" s="80">
        <v>1.3178981964319126E-2</v>
      </c>
      <c r="D40" s="79">
        <v>4.65E-2</v>
      </c>
      <c r="E40" s="133">
        <v>2.2599999999999999E-2</v>
      </c>
    </row>
    <row r="41" spans="1:5" s="50" customFormat="1">
      <c r="A41" s="127">
        <v>1999</v>
      </c>
      <c r="B41" s="79">
        <v>3.0740854595757761E-2</v>
      </c>
      <c r="C41" s="79">
        <v>1.1374404356705241E-2</v>
      </c>
      <c r="D41" s="79">
        <v>6.4399999999999999E-2</v>
      </c>
      <c r="E41" s="133">
        <v>2.0500000000000001E-2</v>
      </c>
    </row>
    <row r="42" spans="1:5" s="50" customFormat="1">
      <c r="A42" s="127">
        <v>2000</v>
      </c>
      <c r="B42" s="79">
        <v>3.9385584875935409E-2</v>
      </c>
      <c r="C42" s="79">
        <v>1.2321969696969698E-2</v>
      </c>
      <c r="D42" s="79">
        <v>5.11E-2</v>
      </c>
      <c r="E42" s="133">
        <v>2.87E-2</v>
      </c>
    </row>
    <row r="43" spans="1:5" s="50" customFormat="1">
      <c r="A43" s="128">
        <v>2001</v>
      </c>
      <c r="B43" s="79">
        <v>3.8524854323267341E-2</v>
      </c>
      <c r="C43" s="79">
        <v>1.3710597601233353E-2</v>
      </c>
      <c r="D43" s="79">
        <v>5.0500000000000003E-2</v>
      </c>
      <c r="E43" s="133">
        <v>3.6200000000000003E-2</v>
      </c>
    </row>
    <row r="44" spans="1:5" s="56" customFormat="1">
      <c r="A44" s="128">
        <v>2002</v>
      </c>
      <c r="B44" s="79">
        <v>5.232888545384283E-2</v>
      </c>
      <c r="C44" s="79">
        <v>1.8276465640699232E-2</v>
      </c>
      <c r="D44" s="79">
        <v>3.8100000000000002E-2</v>
      </c>
      <c r="E44" s="133">
        <v>4.1000000000000002E-2</v>
      </c>
    </row>
    <row r="45" spans="1:5" s="50" customFormat="1">
      <c r="A45" s="128">
        <v>2003</v>
      </c>
      <c r="B45" s="79">
        <v>4.87E-2</v>
      </c>
      <c r="C45" s="79">
        <v>1.61E-2</v>
      </c>
      <c r="D45" s="79">
        <v>4.2500000000000003E-2</v>
      </c>
      <c r="E45" s="133">
        <v>3.6900000000000002E-2</v>
      </c>
    </row>
    <row r="46" spans="1:5" s="2" customFormat="1">
      <c r="A46" s="128">
        <v>2004</v>
      </c>
      <c r="B46" s="79">
        <v>5.584527031487227E-2</v>
      </c>
      <c r="C46" s="79">
        <v>1.6013433229916166E-2</v>
      </c>
      <c r="D46" s="79">
        <v>4.2200000000000001E-2</v>
      </c>
      <c r="E46" s="133">
        <v>3.6499999999999998E-2</v>
      </c>
    </row>
    <row r="47" spans="1:5" s="55" customFormat="1">
      <c r="A47" s="128">
        <v>2005</v>
      </c>
      <c r="B47" s="79">
        <v>5.4699999999999999E-2</v>
      </c>
      <c r="C47" s="79">
        <v>1.792852622387426E-2</v>
      </c>
      <c r="D47" s="79">
        <v>4.3900000000000002E-2</v>
      </c>
      <c r="E47" s="133">
        <v>4.0800000000000003E-2</v>
      </c>
    </row>
    <row r="48" spans="1:5" s="55" customFormat="1">
      <c r="A48" s="128">
        <v>2006</v>
      </c>
      <c r="B48" s="79">
        <v>6.1848692096171477E-2</v>
      </c>
      <c r="C48" s="79">
        <v>1.766198970598604E-2</v>
      </c>
      <c r="D48" s="79">
        <v>4.7E-2</v>
      </c>
      <c r="E48" s="133">
        <v>4.1599999999999998E-2</v>
      </c>
    </row>
    <row r="49" spans="1:5" s="55" customFormat="1">
      <c r="A49" s="128">
        <v>2007</v>
      </c>
      <c r="B49" s="79">
        <v>5.6212372987550746E-2</v>
      </c>
      <c r="C49" s="81">
        <v>1.8885014574082652E-2</v>
      </c>
      <c r="D49" s="79">
        <v>4.02E-2</v>
      </c>
      <c r="E49" s="133">
        <v>4.3700000000000003E-2</v>
      </c>
    </row>
    <row r="50" spans="1:5" s="55" customFormat="1">
      <c r="A50" s="129">
        <v>2008</v>
      </c>
      <c r="B50" s="79">
        <v>7.2394132300027683E-2</v>
      </c>
      <c r="C50" s="79">
        <v>3.1054525325214504E-2</v>
      </c>
      <c r="D50" s="79">
        <v>2.2100000000000002E-2</v>
      </c>
      <c r="E50" s="133">
        <v>6.4299999999999996E-2</v>
      </c>
    </row>
    <row r="51" spans="1:5" s="55" customFormat="1">
      <c r="A51" s="130">
        <v>2009</v>
      </c>
      <c r="B51" s="79">
        <v>5.3492960272621293E-2</v>
      </c>
      <c r="C51" s="79">
        <v>2.000717424446238E-2</v>
      </c>
      <c r="D51" s="79">
        <v>3.8399999999999997E-2</v>
      </c>
      <c r="E51" s="133">
        <v>4.36E-2</v>
      </c>
    </row>
    <row r="52" spans="1:5" s="55" customFormat="1">
      <c r="A52" s="130">
        <v>2010</v>
      </c>
      <c r="B52" s="79">
        <v>6.6521421074393294E-2</v>
      </c>
      <c r="C52" s="79">
        <v>1.8383639197226551E-2</v>
      </c>
      <c r="D52" s="79">
        <v>3.2899999999999999E-2</v>
      </c>
      <c r="E52" s="133">
        <v>5.1999999999999998E-2</v>
      </c>
    </row>
    <row r="53" spans="1:5" s="55" customFormat="1">
      <c r="A53" s="131">
        <v>2011</v>
      </c>
      <c r="B53" s="79">
        <v>7.7170801526717556E-2</v>
      </c>
      <c r="C53" s="79">
        <v>2.069020356234097E-2</v>
      </c>
      <c r="D53" s="82">
        <v>1.8800000000000001E-2</v>
      </c>
      <c r="E53" s="134">
        <v>6.0100000000000001E-2</v>
      </c>
    </row>
    <row r="54" spans="1:5" s="55" customFormat="1">
      <c r="A54" s="131">
        <v>2012</v>
      </c>
      <c r="B54" s="82">
        <v>7.1848771902761899E-2</v>
      </c>
      <c r="C54" s="82">
        <v>2.134357974743898E-2</v>
      </c>
      <c r="D54" s="82">
        <v>1.7600000000000001E-2</v>
      </c>
      <c r="E54" s="134">
        <v>5.7799999999999997E-2</v>
      </c>
    </row>
    <row r="55" spans="1:5" s="2" customFormat="1">
      <c r="A55" s="132">
        <v>2013</v>
      </c>
      <c r="B55" s="83">
        <v>5.813261485857734E-2</v>
      </c>
      <c r="C55" s="83">
        <v>1.9599999999999999E-2</v>
      </c>
      <c r="D55" s="81">
        <v>3.04E-2</v>
      </c>
      <c r="E55" s="135">
        <v>4.9599999999999998E-2</v>
      </c>
    </row>
    <row r="56" spans="1:5">
      <c r="A56" s="132">
        <v>2014</v>
      </c>
      <c r="B56" s="82">
        <v>5.4888532711642138E-2</v>
      </c>
      <c r="C56" s="81">
        <v>1.9155859925202776E-2</v>
      </c>
      <c r="D56" s="81">
        <v>2.1700000000000001E-2</v>
      </c>
      <c r="E56" s="135">
        <v>5.7799999999999997E-2</v>
      </c>
    </row>
    <row r="57" spans="1:5" s="105" customFormat="1">
      <c r="A57" s="139">
        <v>2015</v>
      </c>
      <c r="B57" s="140">
        <v>5.2017182500464783E-2</v>
      </c>
      <c r="C57" s="140">
        <v>2.1116079728367758E-2</v>
      </c>
      <c r="D57" s="140">
        <v>2.2700000000000001E-2</v>
      </c>
      <c r="E57" s="141">
        <v>6.1199999999999997E-2</v>
      </c>
    </row>
    <row r="58" spans="1:5">
      <c r="A58" s="139">
        <v>2016</v>
      </c>
      <c r="B58" s="140">
        <v>4.8599999999999997E-2</v>
      </c>
      <c r="C58" s="142">
        <v>2.01E-2</v>
      </c>
      <c r="D58" s="140">
        <v>2.4500000000000001E-2</v>
      </c>
      <c r="E58" s="141">
        <v>5.6899999999999999E-2</v>
      </c>
    </row>
    <row r="59" spans="1:5">
      <c r="A59" s="139">
        <v>2017</v>
      </c>
      <c r="B59" s="140">
        <v>4.4200000000000003E-2</v>
      </c>
      <c r="C59" s="142">
        <v>1.7999999999999999E-2</v>
      </c>
      <c r="D59" s="140">
        <v>2.41E-2</v>
      </c>
      <c r="E59" s="141">
        <v>5.0799999999999998E-2</v>
      </c>
    </row>
    <row r="60" spans="1:5">
      <c r="A60" s="139">
        <v>2018</v>
      </c>
      <c r="B60" s="140">
        <v>5.9200000000000003E-2</v>
      </c>
      <c r="C60" s="142">
        <v>2.0799999999999999E-2</v>
      </c>
      <c r="D60" s="140">
        <v>2.6800000000000001E-2</v>
      </c>
      <c r="E60" s="141">
        <v>5.96E-2</v>
      </c>
    </row>
    <row r="61" spans="1:5">
      <c r="A61" s="139">
        <v>2019</v>
      </c>
      <c r="B61" s="140">
        <v>5.0251022972780564E-2</v>
      </c>
      <c r="C61" s="142">
        <v>1.8199939333535552E-2</v>
      </c>
      <c r="D61" s="140">
        <v>1.9199999999999998E-2</v>
      </c>
      <c r="E61" s="141">
        <v>5.1999999999999998E-2</v>
      </c>
    </row>
  </sheetData>
  <printOptions gridLines="1" gridLinesSet="0"/>
  <pageMargins left="0.75" right="0.75" top="1" bottom="1" header="0.5" footer="0.5"/>
  <pageSetup orientation="portrait" horizontalDpi="4294967292" verticalDpi="4294967292"/>
  <headerFooter alignWithMargins="0">
    <oddHeader>&amp;A</oddHeader>
    <oddFooter>Page &amp;P</oddFooter>
  </headerFooter>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4"/>
  <sheetViews>
    <sheetView topLeftCell="A73" workbookViewId="0">
      <selection activeCell="H92" sqref="H92:J94"/>
    </sheetView>
  </sheetViews>
  <sheetFormatPr defaultColWidth="10.6640625" defaultRowHeight="13.15"/>
  <cols>
    <col min="5" max="5" width="11.59765625" customWidth="1"/>
  </cols>
  <sheetData>
    <row r="1" spans="1:10" ht="15.4">
      <c r="A1" s="53"/>
      <c r="B1" s="63" t="s">
        <v>64</v>
      </c>
      <c r="C1" s="64"/>
      <c r="D1" s="65"/>
      <c r="E1" s="63" t="s">
        <v>65</v>
      </c>
      <c r="F1" s="64"/>
      <c r="G1" s="65"/>
      <c r="H1" s="53"/>
      <c r="I1" s="53"/>
      <c r="J1" s="53"/>
    </row>
    <row r="2" spans="1:10" ht="15.75">
      <c r="A2" s="66" t="s">
        <v>5</v>
      </c>
      <c r="B2" s="66" t="s">
        <v>63</v>
      </c>
      <c r="C2" s="66" t="s">
        <v>66</v>
      </c>
      <c r="D2" s="66" t="s">
        <v>67</v>
      </c>
      <c r="E2" s="42" t="s">
        <v>68</v>
      </c>
      <c r="F2" s="42" t="s">
        <v>69</v>
      </c>
      <c r="G2" s="42" t="s">
        <v>70</v>
      </c>
      <c r="H2" s="42" t="s">
        <v>71</v>
      </c>
      <c r="I2" s="42" t="s">
        <v>72</v>
      </c>
      <c r="J2" s="42" t="s">
        <v>73</v>
      </c>
    </row>
    <row r="3" spans="1:10" ht="15.75">
      <c r="A3" s="42">
        <v>1928</v>
      </c>
      <c r="B3" s="67">
        <v>0.43811155152887893</v>
      </c>
      <c r="C3" s="67">
        <v>3.0800000000000001E-2</v>
      </c>
      <c r="D3" s="67">
        <v>8.354708589799302E-3</v>
      </c>
      <c r="E3" s="153">
        <f>100*(1+B3)</f>
        <v>143.81115515288789</v>
      </c>
      <c r="F3" s="153">
        <f>100*(1+C3)</f>
        <v>103.08</v>
      </c>
      <c r="G3" s="153">
        <f>100*(1+D3)</f>
        <v>100.83547085897993</v>
      </c>
      <c r="H3" s="67">
        <f>B3-C3</f>
        <v>0.40731155152887893</v>
      </c>
      <c r="I3" s="67">
        <f>B3-D3</f>
        <v>0.42975684293907962</v>
      </c>
      <c r="J3" s="42"/>
    </row>
    <row r="4" spans="1:10" ht="15.75">
      <c r="A4" s="42">
        <v>1929</v>
      </c>
      <c r="B4" s="67">
        <v>-8.2979466119096595E-2</v>
      </c>
      <c r="C4" s="67">
        <v>3.1600000000000003E-2</v>
      </c>
      <c r="D4" s="67">
        <v>4.2038041563204259E-2</v>
      </c>
      <c r="E4" s="153">
        <f t="shared" ref="E4:G19" si="0">E3*(1+B4)</f>
        <v>131.87778227633069</v>
      </c>
      <c r="F4" s="153">
        <f t="shared" si="0"/>
        <v>106.337328</v>
      </c>
      <c r="G4" s="153">
        <f t="shared" si="0"/>
        <v>105.074396573995</v>
      </c>
      <c r="H4" s="67">
        <f t="shared" ref="H4:H67" si="1">B4-C4</f>
        <v>-0.1145794661190966</v>
      </c>
      <c r="I4" s="67">
        <f t="shared" ref="I4:I67" si="2">B4-D4</f>
        <v>-0.12501750768230085</v>
      </c>
      <c r="J4" s="42"/>
    </row>
    <row r="5" spans="1:10" ht="15.75">
      <c r="A5" s="42">
        <v>1930</v>
      </c>
      <c r="B5" s="67">
        <v>-0.25123636363636365</v>
      </c>
      <c r="C5" s="67">
        <v>4.5499999999999999E-2</v>
      </c>
      <c r="D5" s="67">
        <v>4.5409314348970366E-2</v>
      </c>
      <c r="E5" s="153">
        <f t="shared" si="0"/>
        <v>98.745287812797272</v>
      </c>
      <c r="F5" s="153">
        <f t="shared" si="0"/>
        <v>111.17567642400002</v>
      </c>
      <c r="G5" s="153">
        <f t="shared" si="0"/>
        <v>109.84575287805193</v>
      </c>
      <c r="H5" s="67">
        <f t="shared" si="1"/>
        <v>-0.29673636363636363</v>
      </c>
      <c r="I5" s="67">
        <f t="shared" si="2"/>
        <v>-0.29664567798533403</v>
      </c>
      <c r="J5" s="42"/>
    </row>
    <row r="6" spans="1:10" ht="15.75">
      <c r="A6" s="42">
        <v>1931</v>
      </c>
      <c r="B6" s="67">
        <v>-0.43837548891786188</v>
      </c>
      <c r="C6" s="67">
        <v>2.3099999999999999E-2</v>
      </c>
      <c r="D6" s="67">
        <v>-2.5588559619422531E-2</v>
      </c>
      <c r="E6" s="153">
        <f t="shared" si="0"/>
        <v>55.457773989527276</v>
      </c>
      <c r="F6" s="153">
        <f t="shared" si="0"/>
        <v>113.74383454939441</v>
      </c>
      <c r="G6" s="153">
        <f t="shared" si="0"/>
        <v>107.03495828159154</v>
      </c>
      <c r="H6" s="67">
        <f t="shared" si="1"/>
        <v>-0.46147548891786189</v>
      </c>
      <c r="I6" s="67">
        <f t="shared" si="2"/>
        <v>-0.41278692929843935</v>
      </c>
      <c r="J6" s="42"/>
    </row>
    <row r="7" spans="1:10" ht="15.75">
      <c r="A7" s="42">
        <v>1932</v>
      </c>
      <c r="B7" s="67">
        <v>-8.642364532019696E-2</v>
      </c>
      <c r="C7" s="67">
        <v>1.0699999999999999E-2</v>
      </c>
      <c r="D7" s="67">
        <v>8.7903069904773257E-2</v>
      </c>
      <c r="E7" s="153">
        <f t="shared" si="0"/>
        <v>50.664911000008722</v>
      </c>
      <c r="F7" s="153">
        <f t="shared" si="0"/>
        <v>114.96089357907292</v>
      </c>
      <c r="G7" s="153">
        <f t="shared" si="0"/>
        <v>116.44365970167279</v>
      </c>
      <c r="H7" s="67">
        <f t="shared" si="1"/>
        <v>-9.7123645320196961E-2</v>
      </c>
      <c r="I7" s="67">
        <f t="shared" si="2"/>
        <v>-0.17432671522497023</v>
      </c>
      <c r="J7" s="42"/>
    </row>
    <row r="8" spans="1:10" ht="15.75">
      <c r="A8" s="42">
        <v>1933</v>
      </c>
      <c r="B8" s="67">
        <v>0.49982225433526023</v>
      </c>
      <c r="C8" s="67">
        <v>9.5999999999999992E-3</v>
      </c>
      <c r="D8" s="67">
        <v>1.8552720891857361E-2</v>
      </c>
      <c r="E8" s="153">
        <f t="shared" si="0"/>
        <v>75.988361031728402</v>
      </c>
      <c r="F8" s="153">
        <f t="shared" si="0"/>
        <v>116.06451815743202</v>
      </c>
      <c r="G8" s="153">
        <f t="shared" si="0"/>
        <v>118.60400641974435</v>
      </c>
      <c r="H8" s="67">
        <f t="shared" si="1"/>
        <v>0.49022225433526023</v>
      </c>
      <c r="I8" s="67">
        <f t="shared" si="2"/>
        <v>0.48126953344340284</v>
      </c>
      <c r="J8" s="42"/>
    </row>
    <row r="9" spans="1:10" ht="15.75">
      <c r="A9" s="42">
        <v>1934</v>
      </c>
      <c r="B9" s="67">
        <v>-1.1885656970912803E-2</v>
      </c>
      <c r="C9" s="67">
        <v>3.225E-3</v>
      </c>
      <c r="D9" s="67">
        <v>7.9634426179656104E-2</v>
      </c>
      <c r="E9" s="153">
        <f t="shared" si="0"/>
        <v>75.085189438723404</v>
      </c>
      <c r="F9" s="153">
        <f t="shared" si="0"/>
        <v>116.43882622848975</v>
      </c>
      <c r="G9" s="153">
        <f t="shared" si="0"/>
        <v>128.04896841358894</v>
      </c>
      <c r="H9" s="67">
        <f t="shared" si="1"/>
        <v>-1.5110656970912803E-2</v>
      </c>
      <c r="I9" s="67">
        <f t="shared" si="2"/>
        <v>-9.1520083150568907E-2</v>
      </c>
      <c r="J9" s="42"/>
    </row>
    <row r="10" spans="1:10" ht="15.75">
      <c r="A10" s="42">
        <v>1935</v>
      </c>
      <c r="B10" s="67">
        <v>0.46740421052631581</v>
      </c>
      <c r="C10" s="67">
        <v>1.7499999999999998E-3</v>
      </c>
      <c r="D10" s="67">
        <v>4.4720477296566127E-2</v>
      </c>
      <c r="E10" s="153">
        <f t="shared" si="0"/>
        <v>110.18032313054879</v>
      </c>
      <c r="F10" s="153">
        <f t="shared" si="0"/>
        <v>116.64259417438959</v>
      </c>
      <c r="G10" s="153">
        <f t="shared" si="0"/>
        <v>133.77537939837757</v>
      </c>
      <c r="H10" s="67">
        <f t="shared" si="1"/>
        <v>0.46565421052631584</v>
      </c>
      <c r="I10" s="67">
        <f t="shared" si="2"/>
        <v>0.42268373322974967</v>
      </c>
      <c r="J10" s="42"/>
    </row>
    <row r="11" spans="1:10" ht="15.75">
      <c r="A11" s="42">
        <v>1936</v>
      </c>
      <c r="B11" s="67">
        <v>0.31943410275502609</v>
      </c>
      <c r="C11" s="67">
        <v>1.7000000000000001E-3</v>
      </c>
      <c r="D11" s="67">
        <v>5.0178754045450601E-2</v>
      </c>
      <c r="E11" s="153">
        <f t="shared" si="0"/>
        <v>145.37567579101449</v>
      </c>
      <c r="F11" s="153">
        <f t="shared" si="0"/>
        <v>116.84088658448606</v>
      </c>
      <c r="G11" s="153">
        <f t="shared" si="0"/>
        <v>140.4880612585456</v>
      </c>
      <c r="H11" s="67">
        <f t="shared" si="1"/>
        <v>0.31773410275502612</v>
      </c>
      <c r="I11" s="67">
        <f t="shared" si="2"/>
        <v>0.26925534870957551</v>
      </c>
      <c r="J11" s="42"/>
    </row>
    <row r="12" spans="1:10" ht="15.75">
      <c r="A12" s="42">
        <v>1937</v>
      </c>
      <c r="B12" s="67">
        <v>-0.35336728754365537</v>
      </c>
      <c r="C12" s="67">
        <v>3.0250000000000003E-3</v>
      </c>
      <c r="D12" s="67">
        <v>1.379146059646038E-2</v>
      </c>
      <c r="E12" s="153">
        <f t="shared" si="0"/>
        <v>94.004667561917856</v>
      </c>
      <c r="F12" s="153">
        <f t="shared" si="0"/>
        <v>117.19433026640414</v>
      </c>
      <c r="G12" s="153">
        <f t="shared" si="0"/>
        <v>142.42559681966594</v>
      </c>
      <c r="H12" s="67">
        <f t="shared" si="1"/>
        <v>-0.35639228754365537</v>
      </c>
      <c r="I12" s="67">
        <f t="shared" si="2"/>
        <v>-0.36715874814011573</v>
      </c>
      <c r="J12" s="42"/>
    </row>
    <row r="13" spans="1:10" ht="15.75">
      <c r="A13" s="42">
        <v>1938</v>
      </c>
      <c r="B13" s="67">
        <v>0.29282654028436017</v>
      </c>
      <c r="C13" s="67">
        <v>7.7499999999999997E-4</v>
      </c>
      <c r="D13" s="67">
        <v>4.2132485322046068E-2</v>
      </c>
      <c r="E13" s="153">
        <f t="shared" si="0"/>
        <v>121.53172913465568</v>
      </c>
      <c r="F13" s="153">
        <f t="shared" si="0"/>
        <v>117.28515587236059</v>
      </c>
      <c r="G13" s="153">
        <f t="shared" si="0"/>
        <v>148.42634118715418</v>
      </c>
      <c r="H13" s="67">
        <f t="shared" si="1"/>
        <v>0.29205154028436014</v>
      </c>
      <c r="I13" s="67">
        <f t="shared" si="2"/>
        <v>0.25069405496231412</v>
      </c>
      <c r="J13" s="42"/>
    </row>
    <row r="14" spans="1:10" ht="15.75">
      <c r="A14" s="42">
        <v>1939</v>
      </c>
      <c r="B14" s="67">
        <v>-1.0975646879756443E-2</v>
      </c>
      <c r="C14" s="67">
        <v>3.7500000000000006E-4</v>
      </c>
      <c r="D14" s="67">
        <v>4.4122613942060671E-2</v>
      </c>
      <c r="E14" s="153">
        <f t="shared" si="0"/>
        <v>120.19783979098749</v>
      </c>
      <c r="F14" s="153">
        <f t="shared" si="0"/>
        <v>117.32913780581272</v>
      </c>
      <c r="G14" s="153">
        <f t="shared" si="0"/>
        <v>154.97529933818757</v>
      </c>
      <c r="H14" s="67">
        <f t="shared" si="1"/>
        <v>-1.1350646879756444E-2</v>
      </c>
      <c r="I14" s="67">
        <f t="shared" si="2"/>
        <v>-5.509826082181711E-2</v>
      </c>
      <c r="J14" s="42"/>
    </row>
    <row r="15" spans="1:10" ht="15.75">
      <c r="A15" s="42">
        <v>1940</v>
      </c>
      <c r="B15" s="67">
        <v>-0.10672873194221515</v>
      </c>
      <c r="C15" s="67">
        <v>2.5000000000000001E-4</v>
      </c>
      <c r="D15" s="67">
        <v>5.4024815962845509E-2</v>
      </c>
      <c r="E15" s="153">
        <f t="shared" si="0"/>
        <v>107.36927676790187</v>
      </c>
      <c r="F15" s="153">
        <f t="shared" si="0"/>
        <v>117.35847009026418</v>
      </c>
      <c r="G15" s="153">
        <f t="shared" si="0"/>
        <v>163.34781136372007</v>
      </c>
      <c r="H15" s="67">
        <f t="shared" si="1"/>
        <v>-0.10697873194221515</v>
      </c>
      <c r="I15" s="67">
        <f t="shared" si="2"/>
        <v>-0.16075354790506066</v>
      </c>
      <c r="J15" s="42"/>
    </row>
    <row r="16" spans="1:10" ht="15.75">
      <c r="A16" s="42">
        <v>1941</v>
      </c>
      <c r="B16" s="67">
        <v>-0.12771455576559551</v>
      </c>
      <c r="C16" s="67">
        <v>8.2499999999999989E-4</v>
      </c>
      <c r="D16" s="67">
        <v>-2.0221975848580105E-2</v>
      </c>
      <c r="E16" s="153">
        <f t="shared" si="0"/>
        <v>93.656657282615996</v>
      </c>
      <c r="F16" s="153">
        <f t="shared" si="0"/>
        <v>117.45529082808865</v>
      </c>
      <c r="G16" s="153">
        <f t="shared" si="0"/>
        <v>160.0445958674045</v>
      </c>
      <c r="H16" s="67">
        <f t="shared" si="1"/>
        <v>-0.1285395557655955</v>
      </c>
      <c r="I16" s="67">
        <f t="shared" si="2"/>
        <v>-0.10749257991701541</v>
      </c>
      <c r="J16" s="42"/>
    </row>
    <row r="17" spans="1:10" ht="15.75">
      <c r="A17" s="42">
        <v>1942</v>
      </c>
      <c r="B17" s="67">
        <v>0.19173762945914843</v>
      </c>
      <c r="C17" s="67">
        <v>3.3750000000000004E-3</v>
      </c>
      <c r="D17" s="67">
        <v>2.2948682374484164E-2</v>
      </c>
      <c r="E17" s="153">
        <f t="shared" si="0"/>
        <v>111.61416273305268</v>
      </c>
      <c r="F17" s="153">
        <f t="shared" si="0"/>
        <v>117.85170243463344</v>
      </c>
      <c r="G17" s="153">
        <f t="shared" si="0"/>
        <v>163.71740846371824</v>
      </c>
      <c r="H17" s="67">
        <f t="shared" si="1"/>
        <v>0.18836262945914845</v>
      </c>
      <c r="I17" s="67">
        <f t="shared" si="2"/>
        <v>0.16878894708466427</v>
      </c>
      <c r="J17" s="42"/>
    </row>
    <row r="18" spans="1:10" ht="15.75">
      <c r="A18" s="42">
        <v>1943</v>
      </c>
      <c r="B18" s="67">
        <v>0.25061310133060394</v>
      </c>
      <c r="C18" s="67">
        <v>3.8E-3</v>
      </c>
      <c r="D18" s="67">
        <v>2.4899999999999999E-2</v>
      </c>
      <c r="E18" s="153">
        <f t="shared" si="0"/>
        <v>139.58613420800171</v>
      </c>
      <c r="F18" s="153">
        <f t="shared" si="0"/>
        <v>118.29953890388505</v>
      </c>
      <c r="G18" s="153">
        <f t="shared" si="0"/>
        <v>167.79397193446482</v>
      </c>
      <c r="H18" s="67">
        <f t="shared" si="1"/>
        <v>0.24681310133060394</v>
      </c>
      <c r="I18" s="67">
        <f t="shared" si="2"/>
        <v>0.22571310133060393</v>
      </c>
      <c r="J18" s="42"/>
    </row>
    <row r="19" spans="1:10" ht="15.75">
      <c r="A19" s="42">
        <v>1944</v>
      </c>
      <c r="B19" s="67">
        <v>0.19030676949443009</v>
      </c>
      <c r="C19" s="67">
        <v>3.8E-3</v>
      </c>
      <c r="D19" s="67">
        <v>2.5776111579070303E-2</v>
      </c>
      <c r="E19" s="153">
        <f t="shared" si="0"/>
        <v>166.15032047534245</v>
      </c>
      <c r="F19" s="153">
        <f t="shared" si="0"/>
        <v>118.74907715171982</v>
      </c>
      <c r="G19" s="153">
        <f t="shared" si="0"/>
        <v>172.11904807734297</v>
      </c>
      <c r="H19" s="67">
        <f t="shared" si="1"/>
        <v>0.1865067694944301</v>
      </c>
      <c r="I19" s="67">
        <f t="shared" si="2"/>
        <v>0.16453065791535978</v>
      </c>
      <c r="J19" s="42"/>
    </row>
    <row r="20" spans="1:10" ht="15.75">
      <c r="A20" s="42">
        <v>1945</v>
      </c>
      <c r="B20" s="67">
        <v>0.35821084337349401</v>
      </c>
      <c r="C20" s="67">
        <v>3.8E-3</v>
      </c>
      <c r="D20" s="67">
        <v>3.8044173419237229E-2</v>
      </c>
      <c r="E20" s="153">
        <f t="shared" ref="E20:G35" si="3">E19*(1+B20)</f>
        <v>225.66716689959119</v>
      </c>
      <c r="F20" s="153">
        <f t="shared" si="3"/>
        <v>119.20032364489636</v>
      </c>
      <c r="G20" s="153">
        <f t="shared" si="3"/>
        <v>178.66717499115143</v>
      </c>
      <c r="H20" s="67">
        <f t="shared" si="1"/>
        <v>0.35441084337349399</v>
      </c>
      <c r="I20" s="67">
        <f t="shared" si="2"/>
        <v>0.3201666699542568</v>
      </c>
      <c r="J20" s="42"/>
    </row>
    <row r="21" spans="1:10" ht="15.75">
      <c r="A21" s="42">
        <v>1946</v>
      </c>
      <c r="B21" s="67">
        <v>-8.4291474654377807E-2</v>
      </c>
      <c r="C21" s="67">
        <v>3.8E-3</v>
      </c>
      <c r="D21" s="67">
        <v>3.1283745375695685E-2</v>
      </c>
      <c r="E21" s="153">
        <f t="shared" si="3"/>
        <v>206.64534862054904</v>
      </c>
      <c r="F21" s="153">
        <f t="shared" si="3"/>
        <v>119.65328487474697</v>
      </c>
      <c r="G21" s="153">
        <f t="shared" si="3"/>
        <v>184.25655340056949</v>
      </c>
      <c r="H21" s="67">
        <f t="shared" si="1"/>
        <v>-8.8091474654377805E-2</v>
      </c>
      <c r="I21" s="67">
        <f t="shared" si="2"/>
        <v>-0.11557522003007349</v>
      </c>
      <c r="J21" s="42"/>
    </row>
    <row r="22" spans="1:10" ht="15.75">
      <c r="A22" s="42">
        <v>1947</v>
      </c>
      <c r="B22" s="67">
        <v>5.1999999999999998E-2</v>
      </c>
      <c r="C22" s="67">
        <v>5.6750000000000004E-3</v>
      </c>
      <c r="D22" s="67">
        <v>9.1969680628322358E-3</v>
      </c>
      <c r="E22" s="153">
        <f t="shared" si="3"/>
        <v>217.3909067488176</v>
      </c>
      <c r="F22" s="153">
        <f t="shared" si="3"/>
        <v>120.33231726641117</v>
      </c>
      <c r="G22" s="153">
        <f t="shared" si="3"/>
        <v>185.95115503756207</v>
      </c>
      <c r="H22" s="67">
        <f t="shared" si="1"/>
        <v>4.6324999999999998E-2</v>
      </c>
      <c r="I22" s="67">
        <f t="shared" si="2"/>
        <v>4.2803031937167765E-2</v>
      </c>
      <c r="J22" s="42"/>
    </row>
    <row r="23" spans="1:10" ht="15.75">
      <c r="A23" s="42">
        <v>1948</v>
      </c>
      <c r="B23" s="67">
        <v>5.7045751633986834E-2</v>
      </c>
      <c r="C23" s="67">
        <v>1.0225E-2</v>
      </c>
      <c r="D23" s="67">
        <v>1.9510369413175046E-2</v>
      </c>
      <c r="E23" s="153">
        <f t="shared" si="3"/>
        <v>229.79213442269784</v>
      </c>
      <c r="F23" s="153">
        <f t="shared" si="3"/>
        <v>121.56271521046021</v>
      </c>
      <c r="G23" s="153">
        <f t="shared" si="3"/>
        <v>189.57913076515149</v>
      </c>
      <c r="H23" s="67">
        <f t="shared" si="1"/>
        <v>4.6820751633986836E-2</v>
      </c>
      <c r="I23" s="67">
        <f t="shared" si="2"/>
        <v>3.7535382220811792E-2</v>
      </c>
      <c r="J23" s="42"/>
    </row>
    <row r="24" spans="1:10" ht="15.75">
      <c r="A24" s="42">
        <v>1949</v>
      </c>
      <c r="B24" s="67">
        <v>0.18303223684210526</v>
      </c>
      <c r="C24" s="67">
        <v>1.1025E-2</v>
      </c>
      <c r="D24" s="67">
        <v>4.6634851827973139E-2</v>
      </c>
      <c r="E24" s="153">
        <f t="shared" si="3"/>
        <v>271.85150279480598</v>
      </c>
      <c r="F24" s="153">
        <f t="shared" si="3"/>
        <v>122.90294414565554</v>
      </c>
      <c r="G24" s="153">
        <f t="shared" si="3"/>
        <v>198.42012543806027</v>
      </c>
      <c r="H24" s="67">
        <f t="shared" si="1"/>
        <v>0.17200723684210525</v>
      </c>
      <c r="I24" s="67">
        <f t="shared" si="2"/>
        <v>0.13639738501413212</v>
      </c>
      <c r="J24" s="42"/>
    </row>
    <row r="25" spans="1:10" ht="15.75">
      <c r="A25" s="42">
        <v>1950</v>
      </c>
      <c r="B25" s="67">
        <v>0.30805539011316263</v>
      </c>
      <c r="C25" s="67">
        <v>1.1724999999999999E-2</v>
      </c>
      <c r="D25" s="67">
        <v>4.2959574171096103E-3</v>
      </c>
      <c r="E25" s="153">
        <f t="shared" si="3"/>
        <v>355.59682354110947</v>
      </c>
      <c r="F25" s="153">
        <f t="shared" si="3"/>
        <v>124.34398116576335</v>
      </c>
      <c r="G25" s="153">
        <f t="shared" si="3"/>
        <v>199.2725298476397</v>
      </c>
      <c r="H25" s="67">
        <f t="shared" si="1"/>
        <v>0.29633039011316264</v>
      </c>
      <c r="I25" s="67">
        <f t="shared" si="2"/>
        <v>0.30375943269605304</v>
      </c>
      <c r="J25" s="42"/>
    </row>
    <row r="26" spans="1:10" ht="15.75">
      <c r="A26" s="42">
        <v>1951</v>
      </c>
      <c r="B26" s="67">
        <v>0.23678463044542339</v>
      </c>
      <c r="C26" s="67">
        <v>1.4775E-2</v>
      </c>
      <c r="D26" s="67">
        <v>-2.9531392208319886E-3</v>
      </c>
      <c r="E26" s="153">
        <f t="shared" si="3"/>
        <v>439.7966859908575</v>
      </c>
      <c r="F26" s="153">
        <f t="shared" si="3"/>
        <v>126.18116348748751</v>
      </c>
      <c r="G26" s="153">
        <f t="shared" si="3"/>
        <v>198.68405032411223</v>
      </c>
      <c r="H26" s="67">
        <f t="shared" si="1"/>
        <v>0.22200963044542338</v>
      </c>
      <c r="I26" s="67">
        <f t="shared" si="2"/>
        <v>0.23973776966625537</v>
      </c>
      <c r="J26" s="42"/>
    </row>
    <row r="27" spans="1:10" ht="15.75">
      <c r="A27" s="42">
        <v>1952</v>
      </c>
      <c r="B27" s="67">
        <v>0.18150988641144306</v>
      </c>
      <c r="C27" s="67">
        <v>1.6725E-2</v>
      </c>
      <c r="D27" s="67">
        <v>2.2679961918305656E-2</v>
      </c>
      <c r="E27" s="153">
        <f t="shared" si="3"/>
        <v>519.62413250918712</v>
      </c>
      <c r="F27" s="153">
        <f t="shared" si="3"/>
        <v>128.29154344681575</v>
      </c>
      <c r="G27" s="153">
        <f t="shared" si="3"/>
        <v>203.19019701923781</v>
      </c>
      <c r="H27" s="67">
        <f t="shared" si="1"/>
        <v>0.16478488641144307</v>
      </c>
      <c r="I27" s="67">
        <f t="shared" si="2"/>
        <v>0.1588299244931374</v>
      </c>
      <c r="J27" s="42"/>
    </row>
    <row r="28" spans="1:10" ht="15.75">
      <c r="A28" s="42">
        <v>1953</v>
      </c>
      <c r="B28" s="67">
        <v>-1.2082047421904465E-2</v>
      </c>
      <c r="C28" s="67">
        <v>1.8925000000000001E-2</v>
      </c>
      <c r="D28" s="67">
        <v>4.1438402589088513E-2</v>
      </c>
      <c r="E28" s="153">
        <f t="shared" si="3"/>
        <v>513.34600909864514</v>
      </c>
      <c r="F28" s="153">
        <f t="shared" si="3"/>
        <v>130.71946090654674</v>
      </c>
      <c r="G28" s="153">
        <f t="shared" si="3"/>
        <v>211.61007420547722</v>
      </c>
      <c r="H28" s="67">
        <f t="shared" si="1"/>
        <v>-3.1007047421904466E-2</v>
      </c>
      <c r="I28" s="67">
        <f t="shared" si="2"/>
        <v>-5.3520450010992981E-2</v>
      </c>
      <c r="J28" s="42"/>
    </row>
    <row r="29" spans="1:10" ht="15.75">
      <c r="A29" s="42">
        <v>1954</v>
      </c>
      <c r="B29" s="67">
        <v>0.52563321241434902</v>
      </c>
      <c r="C29" s="67">
        <v>9.6249999999999999E-3</v>
      </c>
      <c r="D29" s="67">
        <v>3.2898034558095555E-2</v>
      </c>
      <c r="E29" s="153">
        <f t="shared" si="3"/>
        <v>783.17772094125166</v>
      </c>
      <c r="F29" s="153">
        <f t="shared" si="3"/>
        <v>131.97763571777224</v>
      </c>
      <c r="G29" s="153">
        <f t="shared" si="3"/>
        <v>218.57162973953018</v>
      </c>
      <c r="H29" s="67">
        <f t="shared" si="1"/>
        <v>0.51600821241434902</v>
      </c>
      <c r="I29" s="67">
        <f t="shared" si="2"/>
        <v>0.49273517785625348</v>
      </c>
      <c r="J29" s="42"/>
    </row>
    <row r="30" spans="1:10" ht="15.75">
      <c r="A30" s="42">
        <v>1955</v>
      </c>
      <c r="B30" s="67">
        <v>0.32597331851028349</v>
      </c>
      <c r="C30" s="67">
        <v>1.66E-2</v>
      </c>
      <c r="D30" s="67">
        <v>-1.3364391288618781E-2</v>
      </c>
      <c r="E30" s="153">
        <f t="shared" si="3"/>
        <v>1038.4727616197922</v>
      </c>
      <c r="F30" s="153">
        <f t="shared" si="3"/>
        <v>134.16846447068727</v>
      </c>
      <c r="G30" s="153">
        <f t="shared" si="3"/>
        <v>215.65055295509998</v>
      </c>
      <c r="H30" s="67">
        <f t="shared" si="1"/>
        <v>0.30937331851028349</v>
      </c>
      <c r="I30" s="67">
        <f t="shared" si="2"/>
        <v>0.33933770979890227</v>
      </c>
      <c r="J30" s="42"/>
    </row>
    <row r="31" spans="1:10" ht="15.75">
      <c r="A31" s="42">
        <v>1956</v>
      </c>
      <c r="B31" s="67">
        <v>7.4395118733509347E-2</v>
      </c>
      <c r="C31" s="67">
        <v>2.5550000000000003E-2</v>
      </c>
      <c r="D31" s="67">
        <v>-2.2557738173154165E-2</v>
      </c>
      <c r="E31" s="153">
        <f t="shared" si="3"/>
        <v>1115.7300660220119</v>
      </c>
      <c r="F31" s="153">
        <f t="shared" si="3"/>
        <v>137.59646873791331</v>
      </c>
      <c r="G31" s="153">
        <f t="shared" si="3"/>
        <v>210.78596424464291</v>
      </c>
      <c r="H31" s="67">
        <f t="shared" si="1"/>
        <v>4.8845118733509343E-2</v>
      </c>
      <c r="I31" s="67">
        <f t="shared" si="2"/>
        <v>9.6952856906663512E-2</v>
      </c>
      <c r="J31" s="42"/>
    </row>
    <row r="32" spans="1:10" ht="15.75">
      <c r="A32" s="42">
        <v>1957</v>
      </c>
      <c r="B32" s="67">
        <v>-0.1045736018855796</v>
      </c>
      <c r="C32" s="67">
        <v>3.2300000000000002E-2</v>
      </c>
      <c r="D32" s="67">
        <v>6.7970128466249904E-2</v>
      </c>
      <c r="E32" s="153">
        <f t="shared" si="3"/>
        <v>999.05415428605454</v>
      </c>
      <c r="F32" s="153">
        <f t="shared" si="3"/>
        <v>142.04083467814792</v>
      </c>
      <c r="G32" s="153">
        <f t="shared" si="3"/>
        <v>225.11311331323367</v>
      </c>
      <c r="H32" s="67">
        <f t="shared" si="1"/>
        <v>-0.13687360188557959</v>
      </c>
      <c r="I32" s="67">
        <f t="shared" si="2"/>
        <v>-0.17254373035182952</v>
      </c>
      <c r="J32" s="42"/>
    </row>
    <row r="33" spans="1:10" ht="15.75">
      <c r="A33" s="42">
        <v>1958</v>
      </c>
      <c r="B33" s="67">
        <v>0.43719954988747184</v>
      </c>
      <c r="C33" s="67">
        <v>1.7774999999999999E-2</v>
      </c>
      <c r="D33" s="67">
        <v>-2.0990181755274694E-2</v>
      </c>
      <c r="E33" s="153">
        <f t="shared" si="3"/>
        <v>1435.8401808531264</v>
      </c>
      <c r="F33" s="153">
        <f t="shared" si="3"/>
        <v>144.56561051455202</v>
      </c>
      <c r="G33" s="153">
        <f t="shared" si="3"/>
        <v>220.38794814929315</v>
      </c>
      <c r="H33" s="67">
        <f t="shared" si="1"/>
        <v>0.41942454988747185</v>
      </c>
      <c r="I33" s="67">
        <f t="shared" si="2"/>
        <v>0.45818973164274651</v>
      </c>
      <c r="J33" s="42"/>
    </row>
    <row r="34" spans="1:10" ht="15.75">
      <c r="A34" s="42">
        <v>1959</v>
      </c>
      <c r="B34" s="67">
        <v>0.12056457163557326</v>
      </c>
      <c r="C34" s="67">
        <v>3.2549999999999996E-2</v>
      </c>
      <c r="D34" s="67">
        <v>-2.6466312591385065E-2</v>
      </c>
      <c r="E34" s="153">
        <f t="shared" si="3"/>
        <v>1608.9516371948275</v>
      </c>
      <c r="F34" s="153">
        <f t="shared" si="3"/>
        <v>149.2712211368007</v>
      </c>
      <c r="G34" s="153">
        <f t="shared" si="3"/>
        <v>214.55509182219998</v>
      </c>
      <c r="H34" s="67">
        <f t="shared" si="1"/>
        <v>8.801457163557326E-2</v>
      </c>
      <c r="I34" s="67">
        <f t="shared" si="2"/>
        <v>0.14703088422695831</v>
      </c>
      <c r="J34" s="42"/>
    </row>
    <row r="35" spans="1:10" ht="15.75">
      <c r="A35" s="42">
        <v>1960</v>
      </c>
      <c r="B35" s="67">
        <v>3.36535314743695E-3</v>
      </c>
      <c r="C35" s="67">
        <v>3.0449999999999998E-2</v>
      </c>
      <c r="D35" s="67">
        <v>0.11639503690963365</v>
      </c>
      <c r="E35" s="153">
        <f t="shared" si="3"/>
        <v>1614.366327651135</v>
      </c>
      <c r="F35" s="153">
        <f t="shared" si="3"/>
        <v>153.81652982041629</v>
      </c>
      <c r="G35" s="153">
        <f t="shared" si="3"/>
        <v>239.52823965399477</v>
      </c>
      <c r="H35" s="67">
        <f t="shared" si="1"/>
        <v>-2.7084646852563048E-2</v>
      </c>
      <c r="I35" s="67">
        <f t="shared" si="2"/>
        <v>-0.1130296837621967</v>
      </c>
      <c r="J35" s="67">
        <f>((E35/100)^(1/(A35-$A$3+1)))-((G35/100)^(1/(A35-$A$3+1)))</f>
        <v>6.1119788031217315E-2</v>
      </c>
    </row>
    <row r="36" spans="1:10" ht="15.75">
      <c r="A36" s="42">
        <v>1961</v>
      </c>
      <c r="B36" s="67">
        <v>0.26637712958182752</v>
      </c>
      <c r="C36" s="67">
        <v>2.2675000000000001E-2</v>
      </c>
      <c r="D36" s="67">
        <v>2.0609208076323167E-2</v>
      </c>
      <c r="E36" s="153">
        <f t="shared" ref="E36:G51" si="4">E35*(1+B36)</f>
        <v>2044.3965961044005</v>
      </c>
      <c r="F36" s="153">
        <f t="shared" si="4"/>
        <v>157.30431963409424</v>
      </c>
      <c r="G36" s="153">
        <f t="shared" si="4"/>
        <v>244.46472698517934</v>
      </c>
      <c r="H36" s="67">
        <f t="shared" si="1"/>
        <v>0.24370212958182752</v>
      </c>
      <c r="I36" s="67">
        <f t="shared" si="2"/>
        <v>0.24576792150550436</v>
      </c>
      <c r="J36" s="67">
        <f t="shared" ref="J36:J90" si="5">((E36/100)^(1/(A36-$A$3+1)))-((G36/100)^(1/(A36-$A$3+1)))</f>
        <v>6.6173591829972622E-2</v>
      </c>
    </row>
    <row r="37" spans="1:10" ht="15.75">
      <c r="A37" s="42">
        <v>1962</v>
      </c>
      <c r="B37" s="67">
        <v>-8.8114605171208879E-2</v>
      </c>
      <c r="C37" s="67">
        <v>2.7775000000000005E-2</v>
      </c>
      <c r="D37" s="67">
        <v>5.693544054008462E-2</v>
      </c>
      <c r="E37" s="153">
        <f t="shared" si="4"/>
        <v>1864.2553972252979</v>
      </c>
      <c r="F37" s="153">
        <f t="shared" si="4"/>
        <v>161.67344711193124</v>
      </c>
      <c r="G37" s="153">
        <f t="shared" si="4"/>
        <v>258.38343391259201</v>
      </c>
      <c r="H37" s="67">
        <f t="shared" si="1"/>
        <v>-0.11588960517120889</v>
      </c>
      <c r="I37" s="67">
        <f t="shared" si="2"/>
        <v>-0.14505004571129348</v>
      </c>
      <c r="J37" s="67">
        <f t="shared" si="5"/>
        <v>5.9683465378989942E-2</v>
      </c>
    </row>
    <row r="38" spans="1:10" ht="15.75">
      <c r="A38" s="42">
        <v>1963</v>
      </c>
      <c r="B38" s="67">
        <v>0.22611927099841514</v>
      </c>
      <c r="C38" s="67">
        <v>3.1100000000000003E-2</v>
      </c>
      <c r="D38" s="67">
        <v>1.6841620739546127E-2</v>
      </c>
      <c r="E38" s="153">
        <f t="shared" si="4"/>
        <v>2285.7994686007432</v>
      </c>
      <c r="F38" s="153">
        <f t="shared" si="4"/>
        <v>166.70149131711227</v>
      </c>
      <c r="G38" s="153">
        <f t="shared" si="4"/>
        <v>262.73502971192949</v>
      </c>
      <c r="H38" s="67">
        <f t="shared" si="1"/>
        <v>0.19501927099841515</v>
      </c>
      <c r="I38" s="67">
        <f t="shared" si="2"/>
        <v>0.20927765025886902</v>
      </c>
      <c r="J38" s="67">
        <f t="shared" si="5"/>
        <v>6.3618993911514821E-2</v>
      </c>
    </row>
    <row r="39" spans="1:10" ht="15.75">
      <c r="A39" s="42">
        <v>1964</v>
      </c>
      <c r="B39" s="67">
        <v>0.16415455878432425</v>
      </c>
      <c r="C39" s="67">
        <v>3.5049999999999998E-2</v>
      </c>
      <c r="D39" s="67">
        <v>3.7280648911540815E-2</v>
      </c>
      <c r="E39" s="153">
        <f t="shared" si="4"/>
        <v>2661.0238718383412</v>
      </c>
      <c r="F39" s="153">
        <f t="shared" si="4"/>
        <v>172.54437858777706</v>
      </c>
      <c r="G39" s="153">
        <f t="shared" si="4"/>
        <v>272.52996211138321</v>
      </c>
      <c r="H39" s="67">
        <f t="shared" si="1"/>
        <v>0.12910455878432425</v>
      </c>
      <c r="I39" s="67">
        <f t="shared" si="2"/>
        <v>0.12687390987278344</v>
      </c>
      <c r="J39" s="67">
        <f t="shared" si="5"/>
        <v>6.5267777442658215E-2</v>
      </c>
    </row>
    <row r="40" spans="1:10" ht="15.75">
      <c r="A40" s="42">
        <v>1965</v>
      </c>
      <c r="B40" s="67">
        <v>0.12399242477876114</v>
      </c>
      <c r="C40" s="67">
        <v>3.9024999999999997E-2</v>
      </c>
      <c r="D40" s="67">
        <v>7.1885509359262342E-3</v>
      </c>
      <c r="E40" s="153">
        <f t="shared" si="4"/>
        <v>2990.9706741017444</v>
      </c>
      <c r="F40" s="153">
        <f t="shared" si="4"/>
        <v>179.27792296216506</v>
      </c>
      <c r="G40" s="153">
        <f t="shared" si="4"/>
        <v>274.48905762558695</v>
      </c>
      <c r="H40" s="67">
        <f t="shared" si="1"/>
        <v>8.4967424778761153E-2</v>
      </c>
      <c r="I40" s="67">
        <f t="shared" si="2"/>
        <v>0.11680387384283492</v>
      </c>
      <c r="J40" s="67">
        <f t="shared" si="5"/>
        <v>6.6617941689874449E-2</v>
      </c>
    </row>
    <row r="41" spans="1:10" ht="15.75">
      <c r="A41" s="42">
        <v>1966</v>
      </c>
      <c r="B41" s="67">
        <v>-9.9709542356377898E-2</v>
      </c>
      <c r="C41" s="67">
        <v>4.8399999999999999E-2</v>
      </c>
      <c r="D41" s="67">
        <v>2.9079409324299622E-2</v>
      </c>
      <c r="E41" s="153">
        <f t="shared" si="4"/>
        <v>2692.7423569857124</v>
      </c>
      <c r="F41" s="153">
        <f t="shared" si="4"/>
        <v>187.95497443353386</v>
      </c>
      <c r="G41" s="153">
        <f t="shared" si="4"/>
        <v>282.47103728732264</v>
      </c>
      <c r="H41" s="67">
        <f t="shared" si="1"/>
        <v>-0.14810954235637791</v>
      </c>
      <c r="I41" s="67">
        <f t="shared" si="2"/>
        <v>-0.12878895168067753</v>
      </c>
      <c r="J41" s="67">
        <f t="shared" si="5"/>
        <v>6.1123719679815336E-2</v>
      </c>
    </row>
    <row r="42" spans="1:10" ht="15.75">
      <c r="A42" s="42">
        <v>1967</v>
      </c>
      <c r="B42" s="67">
        <v>0.23802966513133328</v>
      </c>
      <c r="C42" s="67">
        <v>4.3324999999999995E-2</v>
      </c>
      <c r="D42" s="67">
        <v>-1.5806209932824666E-2</v>
      </c>
      <c r="E42" s="153">
        <f t="shared" si="4"/>
        <v>3333.6949185039784</v>
      </c>
      <c r="F42" s="153">
        <f t="shared" si="4"/>
        <v>196.09812370086672</v>
      </c>
      <c r="G42" s="153">
        <f t="shared" si="4"/>
        <v>278.0062407720165</v>
      </c>
      <c r="H42" s="67">
        <f t="shared" si="1"/>
        <v>0.19470466513133328</v>
      </c>
      <c r="I42" s="67">
        <f t="shared" si="2"/>
        <v>0.25383587506415795</v>
      </c>
      <c r="J42" s="67">
        <f t="shared" si="5"/>
        <v>6.5732838776739522E-2</v>
      </c>
    </row>
    <row r="43" spans="1:10" ht="15.75">
      <c r="A43" s="42">
        <v>1968</v>
      </c>
      <c r="B43" s="67">
        <v>0.10814862651601535</v>
      </c>
      <c r="C43" s="67">
        <v>5.2600000000000001E-2</v>
      </c>
      <c r="D43" s="67">
        <v>3.2746196950768365E-2</v>
      </c>
      <c r="E43" s="153">
        <f t="shared" si="4"/>
        <v>3694.2294451636035</v>
      </c>
      <c r="F43" s="153">
        <f t="shared" si="4"/>
        <v>206.41288500753231</v>
      </c>
      <c r="G43" s="153">
        <f t="shared" si="4"/>
        <v>287.10988788587969</v>
      </c>
      <c r="H43" s="67">
        <f t="shared" si="1"/>
        <v>5.5548626516015352E-2</v>
      </c>
      <c r="I43" s="67">
        <f t="shared" si="2"/>
        <v>7.5402429565246981E-2</v>
      </c>
      <c r="J43" s="67">
        <f t="shared" si="5"/>
        <v>6.596627828748769E-2</v>
      </c>
    </row>
    <row r="44" spans="1:10" ht="15.75">
      <c r="A44" s="42">
        <v>1969</v>
      </c>
      <c r="B44" s="67">
        <v>-8.2413710764490639E-2</v>
      </c>
      <c r="C44" s="67">
        <v>6.5625000000000003E-2</v>
      </c>
      <c r="D44" s="67">
        <v>-5.0140493209926106E-2</v>
      </c>
      <c r="E44" s="153">
        <f t="shared" si="4"/>
        <v>3389.7742881722256</v>
      </c>
      <c r="F44" s="153">
        <f t="shared" si="4"/>
        <v>219.95873058615163</v>
      </c>
      <c r="G44" s="153">
        <f t="shared" si="4"/>
        <v>272.7140565018351</v>
      </c>
      <c r="H44" s="67">
        <f t="shared" si="1"/>
        <v>-0.14803871076449066</v>
      </c>
      <c r="I44" s="67">
        <f t="shared" si="2"/>
        <v>-3.2273217554564533E-2</v>
      </c>
      <c r="J44" s="67">
        <f t="shared" si="5"/>
        <v>6.3333872734198771E-2</v>
      </c>
    </row>
    <row r="45" spans="1:10" ht="15.75">
      <c r="A45" s="42">
        <v>1970</v>
      </c>
      <c r="B45" s="67">
        <v>3.5611449054964189E-2</v>
      </c>
      <c r="C45" s="67">
        <v>6.6849999999999993E-2</v>
      </c>
      <c r="D45" s="67">
        <v>0.16754737183412338</v>
      </c>
      <c r="E45" s="153">
        <f t="shared" si="4"/>
        <v>3510.4890625432981</v>
      </c>
      <c r="F45" s="153">
        <f t="shared" si="4"/>
        <v>234.66297172583589</v>
      </c>
      <c r="G45" s="153">
        <f t="shared" si="4"/>
        <v>318.40657993094021</v>
      </c>
      <c r="H45" s="67">
        <f t="shared" si="1"/>
        <v>-3.1238550945035803E-2</v>
      </c>
      <c r="I45" s="67">
        <f t="shared" si="2"/>
        <v>-0.13193592277915919</v>
      </c>
      <c r="J45" s="67">
        <f t="shared" si="5"/>
        <v>5.8972566666315007E-2</v>
      </c>
    </row>
    <row r="46" spans="1:10" ht="15.75">
      <c r="A46" s="42">
        <v>1971</v>
      </c>
      <c r="B46" s="67">
        <v>0.14221150298426474</v>
      </c>
      <c r="C46" s="67">
        <v>4.5400000000000003E-2</v>
      </c>
      <c r="D46" s="67">
        <v>9.7868966197122972E-2</v>
      </c>
      <c r="E46" s="153">
        <f t="shared" si="4"/>
        <v>4009.720988337403</v>
      </c>
      <c r="F46" s="153">
        <f t="shared" si="4"/>
        <v>245.31667064218885</v>
      </c>
      <c r="G46" s="153">
        <f t="shared" si="4"/>
        <v>349.56870273914296</v>
      </c>
      <c r="H46" s="67">
        <f t="shared" si="1"/>
        <v>9.6811502984264747E-2</v>
      </c>
      <c r="I46" s="67">
        <f t="shared" si="2"/>
        <v>4.434253678714177E-2</v>
      </c>
      <c r="J46" s="67">
        <f t="shared" si="5"/>
        <v>5.8660636809878541E-2</v>
      </c>
    </row>
    <row r="47" spans="1:10" ht="15.75">
      <c r="A47" s="42">
        <v>1972</v>
      </c>
      <c r="B47" s="67">
        <v>0.18755362915074925</v>
      </c>
      <c r="C47" s="67">
        <v>3.9525000000000005E-2</v>
      </c>
      <c r="D47" s="67">
        <v>2.818449050444969E-2</v>
      </c>
      <c r="E47" s="153">
        <f t="shared" si="4"/>
        <v>4761.7587115820115</v>
      </c>
      <c r="F47" s="153">
        <f t="shared" si="4"/>
        <v>255.01281204932138</v>
      </c>
      <c r="G47" s="153">
        <f t="shared" si="4"/>
        <v>359.42111852214714</v>
      </c>
      <c r="H47" s="67">
        <f t="shared" si="1"/>
        <v>0.14802862915074924</v>
      </c>
      <c r="I47" s="67">
        <f t="shared" si="2"/>
        <v>0.15936913864629956</v>
      </c>
      <c r="J47" s="67">
        <f t="shared" si="5"/>
        <v>6.0804303728189568E-2</v>
      </c>
    </row>
    <row r="48" spans="1:10" ht="15.75">
      <c r="A48" s="42">
        <v>1973</v>
      </c>
      <c r="B48" s="67">
        <v>-0.14308047437526472</v>
      </c>
      <c r="C48" s="67">
        <v>6.724999999999999E-2</v>
      </c>
      <c r="D48" s="67">
        <v>3.6586646024150085E-2</v>
      </c>
      <c r="E48" s="153">
        <f t="shared" si="4"/>
        <v>4080.4440162683081</v>
      </c>
      <c r="F48" s="153">
        <f t="shared" si="4"/>
        <v>272.16242365963825</v>
      </c>
      <c r="G48" s="153">
        <f t="shared" si="4"/>
        <v>372.57113175912104</v>
      </c>
      <c r="H48" s="67">
        <f t="shared" si="1"/>
        <v>-0.2103304743752647</v>
      </c>
      <c r="I48" s="67">
        <f t="shared" si="2"/>
        <v>-0.17966712039941479</v>
      </c>
      <c r="J48" s="67">
        <f t="shared" si="5"/>
        <v>5.4960045718843054E-2</v>
      </c>
    </row>
    <row r="49" spans="1:10" ht="15.75">
      <c r="A49" s="42">
        <v>1974</v>
      </c>
      <c r="B49" s="67">
        <v>-0.25901785750896972</v>
      </c>
      <c r="C49" s="67">
        <v>7.7775000000000011E-2</v>
      </c>
      <c r="D49" s="67">
        <v>1.9886086932378574E-2</v>
      </c>
      <c r="E49" s="153">
        <f t="shared" si="4"/>
        <v>3023.5361494891954</v>
      </c>
      <c r="F49" s="153">
        <f t="shared" si="4"/>
        <v>293.32985615976662</v>
      </c>
      <c r="G49" s="153">
        <f t="shared" si="4"/>
        <v>379.98011367377757</v>
      </c>
      <c r="H49" s="67">
        <f t="shared" si="1"/>
        <v>-0.3367928575089697</v>
      </c>
      <c r="I49" s="67">
        <f t="shared" si="2"/>
        <v>-0.27890394444134831</v>
      </c>
      <c r="J49" s="67">
        <f t="shared" si="5"/>
        <v>4.6417018581159875E-2</v>
      </c>
    </row>
    <row r="50" spans="1:10" ht="15.75">
      <c r="A50" s="42">
        <v>1975</v>
      </c>
      <c r="B50" s="67">
        <v>0.36995137106184356</v>
      </c>
      <c r="C50" s="67">
        <v>5.9900000000000002E-2</v>
      </c>
      <c r="D50" s="67">
        <v>3.6052536026033838E-2</v>
      </c>
      <c r="E50" s="153">
        <f t="shared" si="4"/>
        <v>4142.0974934477708</v>
      </c>
      <c r="F50" s="153">
        <f t="shared" si="4"/>
        <v>310.90031454373667</v>
      </c>
      <c r="G50" s="153">
        <f t="shared" si="4"/>
        <v>393.67936041117781</v>
      </c>
      <c r="H50" s="67">
        <f t="shared" si="1"/>
        <v>0.31005137106184355</v>
      </c>
      <c r="I50" s="67">
        <f t="shared" si="2"/>
        <v>0.33389883503580975</v>
      </c>
      <c r="J50" s="67">
        <f t="shared" si="5"/>
        <v>5.1706756781676244E-2</v>
      </c>
    </row>
    <row r="51" spans="1:10" ht="15.75">
      <c r="A51" s="42">
        <v>1976</v>
      </c>
      <c r="B51" s="67">
        <v>0.23830999002106662</v>
      </c>
      <c r="C51" s="67">
        <v>4.9700000000000008E-2</v>
      </c>
      <c r="D51" s="67">
        <v>0.1598456074290921</v>
      </c>
      <c r="E51" s="153">
        <f t="shared" si="4"/>
        <v>5129.2007057775936</v>
      </c>
      <c r="F51" s="153">
        <f t="shared" si="4"/>
        <v>326.35206017656043</v>
      </c>
      <c r="G51" s="153">
        <f t="shared" si="4"/>
        <v>456.607276908399</v>
      </c>
      <c r="H51" s="67">
        <f t="shared" si="1"/>
        <v>0.1886099900210666</v>
      </c>
      <c r="I51" s="67">
        <f t="shared" si="2"/>
        <v>7.8464382591974524E-2</v>
      </c>
      <c r="J51" s="67">
        <f t="shared" si="5"/>
        <v>5.2196588038950109E-2</v>
      </c>
    </row>
    <row r="52" spans="1:10" ht="15.75">
      <c r="A52" s="42">
        <v>1977</v>
      </c>
      <c r="B52" s="67">
        <v>-6.9797040759352322E-2</v>
      </c>
      <c r="C52" s="67">
        <v>5.1275000000000001E-2</v>
      </c>
      <c r="D52" s="67">
        <v>1.2899606071070449E-2</v>
      </c>
      <c r="E52" s="153">
        <f t="shared" ref="E52:G67" si="6">E51*(1+B52)</f>
        <v>4771.1976750535359</v>
      </c>
      <c r="F52" s="153">
        <f t="shared" si="6"/>
        <v>343.08576206211353</v>
      </c>
      <c r="G52" s="153">
        <f t="shared" si="6"/>
        <v>462.49733090970153</v>
      </c>
      <c r="H52" s="67">
        <f t="shared" si="1"/>
        <v>-0.12107204075935232</v>
      </c>
      <c r="I52" s="67">
        <f t="shared" si="2"/>
        <v>-8.2696646830422771E-2</v>
      </c>
      <c r="J52" s="67">
        <f t="shared" si="5"/>
        <v>4.9266761357046551E-2</v>
      </c>
    </row>
    <row r="53" spans="1:10" ht="15.75">
      <c r="A53" s="42">
        <v>1978</v>
      </c>
      <c r="B53" s="67">
        <v>6.50928391167193E-2</v>
      </c>
      <c r="C53" s="67">
        <v>6.9325000000000012E-2</v>
      </c>
      <c r="D53" s="67">
        <v>-7.7758069075086478E-3</v>
      </c>
      <c r="E53" s="153">
        <f t="shared" si="6"/>
        <v>5081.7684777098611</v>
      </c>
      <c r="F53" s="153">
        <f t="shared" si="6"/>
        <v>366.87018251706957</v>
      </c>
      <c r="G53" s="153">
        <f t="shared" si="6"/>
        <v>458.90104096930958</v>
      </c>
      <c r="H53" s="67">
        <f t="shared" si="1"/>
        <v>-4.2321608832807112E-3</v>
      </c>
      <c r="I53" s="67">
        <f t="shared" si="2"/>
        <v>7.2868646024227948E-2</v>
      </c>
      <c r="J53" s="67">
        <f t="shared" si="5"/>
        <v>4.9741898913203242E-2</v>
      </c>
    </row>
    <row r="54" spans="1:10" ht="15.75">
      <c r="A54" s="42">
        <v>1979</v>
      </c>
      <c r="B54" s="67">
        <v>0.18519490167516386</v>
      </c>
      <c r="C54" s="67">
        <v>9.9375000000000005E-2</v>
      </c>
      <c r="D54" s="67">
        <v>6.7072031247235459E-3</v>
      </c>
      <c r="E54" s="153">
        <f t="shared" si="6"/>
        <v>6022.8860912752862</v>
      </c>
      <c r="F54" s="153">
        <f t="shared" si="6"/>
        <v>403.32790690470335</v>
      </c>
      <c r="G54" s="153">
        <f t="shared" si="6"/>
        <v>461.97898346523777</v>
      </c>
      <c r="H54" s="67">
        <f t="shared" si="1"/>
        <v>8.5819901675163859E-2</v>
      </c>
      <c r="I54" s="67">
        <f t="shared" si="2"/>
        <v>0.17848769855044033</v>
      </c>
      <c r="J54" s="67">
        <f t="shared" si="5"/>
        <v>5.2132252828986925E-2</v>
      </c>
    </row>
    <row r="55" spans="1:10" ht="15.75">
      <c r="A55" s="42">
        <v>1980</v>
      </c>
      <c r="B55" s="67">
        <v>0.3173524550676301</v>
      </c>
      <c r="C55" s="67">
        <v>0.11219999999999999</v>
      </c>
      <c r="D55" s="67">
        <v>-2.989744251999403E-2</v>
      </c>
      <c r="E55" s="153">
        <f t="shared" si="6"/>
        <v>7934.2637789341807</v>
      </c>
      <c r="F55" s="153">
        <f t="shared" si="6"/>
        <v>448.5812980594111</v>
      </c>
      <c r="G55" s="153">
        <f t="shared" si="6"/>
        <v>448.16699336164055</v>
      </c>
      <c r="H55" s="67">
        <f t="shared" si="1"/>
        <v>0.20515245506763011</v>
      </c>
      <c r="I55" s="67">
        <f t="shared" si="2"/>
        <v>0.34724989758762415</v>
      </c>
      <c r="J55" s="67">
        <f t="shared" si="5"/>
        <v>5.7318705257589642E-2</v>
      </c>
    </row>
    <row r="56" spans="1:10" ht="15.75">
      <c r="A56" s="42">
        <v>1981</v>
      </c>
      <c r="B56" s="67">
        <v>-4.7023902474955762E-2</v>
      </c>
      <c r="C56" s="67">
        <v>0.14299999999999999</v>
      </c>
      <c r="D56" s="67">
        <v>8.1992153358923542E-2</v>
      </c>
      <c r="E56" s="153">
        <f t="shared" si="6"/>
        <v>7561.1637327830058</v>
      </c>
      <c r="F56" s="153">
        <f t="shared" si="6"/>
        <v>512.72842368190686</v>
      </c>
      <c r="G56" s="153">
        <f t="shared" si="6"/>
        <v>484.91317021175587</v>
      </c>
      <c r="H56" s="67">
        <f t="shared" si="1"/>
        <v>-0.19002390247495576</v>
      </c>
      <c r="I56" s="67">
        <f t="shared" si="2"/>
        <v>-0.12901605583387932</v>
      </c>
      <c r="J56" s="67">
        <f t="shared" si="5"/>
        <v>5.3730990468644491E-2</v>
      </c>
    </row>
    <row r="57" spans="1:10" ht="15.75">
      <c r="A57" s="42">
        <v>1982</v>
      </c>
      <c r="B57" s="67">
        <v>0.20419055079559353</v>
      </c>
      <c r="C57" s="67">
        <v>0.1101</v>
      </c>
      <c r="D57" s="67">
        <v>0.32814549486295586</v>
      </c>
      <c r="E57" s="153">
        <f t="shared" si="6"/>
        <v>9105.0819200356327</v>
      </c>
      <c r="F57" s="153">
        <f t="shared" si="6"/>
        <v>569.17982312928484</v>
      </c>
      <c r="G57" s="153">
        <f t="shared" si="6"/>
        <v>644.03524241645721</v>
      </c>
      <c r="H57" s="67">
        <f t="shared" si="1"/>
        <v>9.4090550795593531E-2</v>
      </c>
      <c r="I57" s="67">
        <f t="shared" si="2"/>
        <v>-0.12395494406736232</v>
      </c>
      <c r="J57" s="67">
        <f t="shared" si="5"/>
        <v>5.1038688692139678E-2</v>
      </c>
    </row>
    <row r="58" spans="1:10" ht="15.75">
      <c r="A58" s="42">
        <v>1983</v>
      </c>
      <c r="B58" s="67">
        <v>0.22337155858930619</v>
      </c>
      <c r="C58" s="67">
        <v>8.4474999999999995E-2</v>
      </c>
      <c r="D58" s="67">
        <v>3.2002094451429264E-2</v>
      </c>
      <c r="E58" s="153">
        <f t="shared" si="6"/>
        <v>11138.898259597305</v>
      </c>
      <c r="F58" s="153">
        <f t="shared" si="6"/>
        <v>617.26128868813123</v>
      </c>
      <c r="G58" s="153">
        <f t="shared" si="6"/>
        <v>664.64571907431775</v>
      </c>
      <c r="H58" s="67">
        <f t="shared" si="1"/>
        <v>0.13889655858930619</v>
      </c>
      <c r="I58" s="67">
        <f t="shared" si="2"/>
        <v>0.19136946413787692</v>
      </c>
      <c r="J58" s="67">
        <f t="shared" si="5"/>
        <v>5.3402830654563971E-2</v>
      </c>
    </row>
    <row r="59" spans="1:10" ht="15.75">
      <c r="A59" s="42">
        <v>1984</v>
      </c>
      <c r="B59" s="67">
        <v>6.14614199963621E-2</v>
      </c>
      <c r="C59" s="67">
        <v>9.6125000000000002E-2</v>
      </c>
      <c r="D59" s="67">
        <v>0.13733364344102345</v>
      </c>
      <c r="E59" s="153">
        <f t="shared" si="6"/>
        <v>11823.510763827162</v>
      </c>
      <c r="F59" s="153">
        <f t="shared" si="6"/>
        <v>676.59553006327781</v>
      </c>
      <c r="G59" s="153">
        <f t="shared" si="6"/>
        <v>755.92393727227272</v>
      </c>
      <c r="H59" s="67">
        <f t="shared" si="1"/>
        <v>-3.4663580003637902E-2</v>
      </c>
      <c r="I59" s="67">
        <f t="shared" si="2"/>
        <v>-7.5872223444661352E-2</v>
      </c>
      <c r="J59" s="67">
        <f t="shared" si="5"/>
        <v>5.1212126318051387E-2</v>
      </c>
    </row>
    <row r="60" spans="1:10" ht="15.75">
      <c r="A60" s="42">
        <v>1985</v>
      </c>
      <c r="B60" s="67">
        <v>0.31235149485768948</v>
      </c>
      <c r="C60" s="67">
        <v>7.4874999999999997E-2</v>
      </c>
      <c r="D60" s="67">
        <v>0.2571248821260641</v>
      </c>
      <c r="E60" s="153">
        <f t="shared" si="6"/>
        <v>15516.602025374559</v>
      </c>
      <c r="F60" s="153">
        <f t="shared" si="6"/>
        <v>727.25562037676571</v>
      </c>
      <c r="G60" s="153">
        <f t="shared" si="6"/>
        <v>950.2907905396761</v>
      </c>
      <c r="H60" s="67">
        <f t="shared" si="1"/>
        <v>0.23747649485768949</v>
      </c>
      <c r="I60" s="67">
        <f t="shared" si="2"/>
        <v>5.522661273162538E-2</v>
      </c>
      <c r="J60" s="67">
        <f t="shared" si="5"/>
        <v>5.1284365102581608E-2</v>
      </c>
    </row>
    <row r="61" spans="1:10" ht="15.75">
      <c r="A61" s="42">
        <v>1986</v>
      </c>
      <c r="B61" s="67">
        <v>0.18494578758046187</v>
      </c>
      <c r="C61" s="67">
        <v>6.0350000000000001E-2</v>
      </c>
      <c r="D61" s="67">
        <v>0.24284215141767618</v>
      </c>
      <c r="E61" s="153">
        <f t="shared" si="6"/>
        <v>18386.332207530046</v>
      </c>
      <c r="F61" s="153">
        <f t="shared" si="6"/>
        <v>771.14549706650348</v>
      </c>
      <c r="G61" s="153">
        <f t="shared" si="6"/>
        <v>1181.0614505867354</v>
      </c>
      <c r="H61" s="67">
        <f t="shared" si="1"/>
        <v>0.12459578758046187</v>
      </c>
      <c r="I61" s="67">
        <f t="shared" si="2"/>
        <v>-5.7896363837214304E-2</v>
      </c>
      <c r="J61" s="67">
        <f t="shared" si="5"/>
        <v>4.9663565599739057E-2</v>
      </c>
    </row>
    <row r="62" spans="1:10" ht="15.75">
      <c r="A62" s="42">
        <v>1987</v>
      </c>
      <c r="B62" s="67">
        <v>5.8127216418218712E-2</v>
      </c>
      <c r="C62" s="67">
        <v>5.7224999999999998E-2</v>
      </c>
      <c r="D62" s="67">
        <v>-4.9605089379262279E-2</v>
      </c>
      <c r="E62" s="153">
        <f t="shared" si="6"/>
        <v>19455.07851889441</v>
      </c>
      <c r="F62" s="153">
        <f t="shared" si="6"/>
        <v>815.27429813613423</v>
      </c>
      <c r="G62" s="153">
        <f t="shared" si="6"/>
        <v>1122.4747917679792</v>
      </c>
      <c r="H62" s="67">
        <f t="shared" si="1"/>
        <v>9.0221641821871396E-4</v>
      </c>
      <c r="I62" s="67">
        <f t="shared" si="2"/>
        <v>0.107732305797481</v>
      </c>
      <c r="J62" s="67">
        <f t="shared" si="5"/>
        <v>5.0693590437507208E-2</v>
      </c>
    </row>
    <row r="63" spans="1:10" ht="15.75">
      <c r="A63" s="42">
        <v>1988</v>
      </c>
      <c r="B63" s="67">
        <v>0.16537192812044688</v>
      </c>
      <c r="C63" s="67">
        <v>6.4499999999999988E-2</v>
      </c>
      <c r="D63" s="67">
        <v>8.2235958434841674E-2</v>
      </c>
      <c r="E63" s="153">
        <f t="shared" si="6"/>
        <v>22672.402365298665</v>
      </c>
      <c r="F63" s="153">
        <f t="shared" si="6"/>
        <v>867.85949036591489</v>
      </c>
      <c r="G63" s="153">
        <f t="shared" si="6"/>
        <v>1214.7825820879684</v>
      </c>
      <c r="H63" s="67">
        <f t="shared" si="1"/>
        <v>0.10087192812044689</v>
      </c>
      <c r="I63" s="67">
        <f t="shared" si="2"/>
        <v>8.3135969685605202E-2</v>
      </c>
      <c r="J63" s="67">
        <f t="shared" si="5"/>
        <v>5.1199933578993884E-2</v>
      </c>
    </row>
    <row r="64" spans="1:10" ht="15.75">
      <c r="A64" s="42">
        <v>1989</v>
      </c>
      <c r="B64" s="67">
        <v>0.31475183638196724</v>
      </c>
      <c r="C64" s="67">
        <v>8.1099999999999992E-2</v>
      </c>
      <c r="D64" s="67">
        <v>0.17693647159446219</v>
      </c>
      <c r="E64" s="153">
        <f t="shared" si="6"/>
        <v>29808.582644967279</v>
      </c>
      <c r="F64" s="153">
        <f t="shared" si="6"/>
        <v>938.24289503459056</v>
      </c>
      <c r="G64" s="153">
        <f t="shared" si="6"/>
        <v>1429.7219259170236</v>
      </c>
      <c r="H64" s="67">
        <f t="shared" si="1"/>
        <v>0.23365183638196724</v>
      </c>
      <c r="I64" s="67">
        <f t="shared" si="2"/>
        <v>0.13781536478750506</v>
      </c>
      <c r="J64" s="67">
        <f t="shared" si="5"/>
        <v>5.240982169336883E-2</v>
      </c>
    </row>
    <row r="65" spans="1:10" ht="15.75">
      <c r="A65" s="42">
        <v>1990</v>
      </c>
      <c r="B65" s="67">
        <v>-3.0644516129032118E-2</v>
      </c>
      <c r="C65" s="67">
        <v>7.5500000000000012E-2</v>
      </c>
      <c r="D65" s="67">
        <v>6.2353753335533363E-2</v>
      </c>
      <c r="E65" s="153">
        <f t="shared" si="6"/>
        <v>28895.113053319994</v>
      </c>
      <c r="F65" s="153">
        <f t="shared" si="6"/>
        <v>1009.0802336097021</v>
      </c>
      <c r="G65" s="153">
        <f t="shared" si="6"/>
        <v>1518.8704542240573</v>
      </c>
      <c r="H65" s="67">
        <f t="shared" si="1"/>
        <v>-0.10614451612903213</v>
      </c>
      <c r="I65" s="67">
        <f t="shared" si="2"/>
        <v>-9.2998269464565478E-2</v>
      </c>
      <c r="J65" s="67">
        <f t="shared" si="5"/>
        <v>4.9979953137364364E-2</v>
      </c>
    </row>
    <row r="66" spans="1:10" ht="15.75">
      <c r="A66" s="42">
        <v>1991</v>
      </c>
      <c r="B66" s="67">
        <v>0.30234843134879757</v>
      </c>
      <c r="C66" s="67">
        <v>5.6100000000000011E-2</v>
      </c>
      <c r="D66" s="67">
        <v>0.15004510019517303</v>
      </c>
      <c r="E66" s="153">
        <f t="shared" si="6"/>
        <v>37631.505158637461</v>
      </c>
      <c r="F66" s="153">
        <f t="shared" si="6"/>
        <v>1065.6896347152065</v>
      </c>
      <c r="G66" s="153">
        <f t="shared" si="6"/>
        <v>1746.769523711594</v>
      </c>
      <c r="H66" s="67">
        <f t="shared" si="1"/>
        <v>0.24624843134879756</v>
      </c>
      <c r="I66" s="67">
        <f t="shared" si="2"/>
        <v>0.15230333115362454</v>
      </c>
      <c r="J66" s="67">
        <f t="shared" si="5"/>
        <v>5.13850639844049E-2</v>
      </c>
    </row>
    <row r="67" spans="1:10" ht="15.75">
      <c r="A67" s="42">
        <v>1992</v>
      </c>
      <c r="B67" s="67">
        <v>7.493727972380064E-2</v>
      </c>
      <c r="C67" s="67">
        <v>3.4049999999999997E-2</v>
      </c>
      <c r="D67" s="67">
        <v>9.3616373162079422E-2</v>
      </c>
      <c r="E67" s="153">
        <f t="shared" si="6"/>
        <v>40451.507787137925</v>
      </c>
      <c r="F67" s="153">
        <f t="shared" si="6"/>
        <v>1101.976366777259</v>
      </c>
      <c r="G67" s="153">
        <f t="shared" si="6"/>
        <v>1910.2957512715263</v>
      </c>
      <c r="H67" s="67">
        <f t="shared" si="1"/>
        <v>4.0887279723800643E-2</v>
      </c>
      <c r="I67" s="67">
        <f t="shared" si="2"/>
        <v>-1.8679093438278782E-2</v>
      </c>
      <c r="J67" s="67">
        <f t="shared" si="5"/>
        <v>5.0319857010869606E-2</v>
      </c>
    </row>
    <row r="68" spans="1:10" ht="15.75">
      <c r="A68" s="42">
        <v>1993</v>
      </c>
      <c r="B68" s="67">
        <v>9.96705147919488E-2</v>
      </c>
      <c r="C68" s="67">
        <v>2.9825000000000001E-2</v>
      </c>
      <c r="D68" s="67">
        <v>0.14210957589263107</v>
      </c>
      <c r="E68" s="153">
        <f t="shared" ref="E68:G83" si="7">E67*(1+B68)</f>
        <v>44483.33039239249</v>
      </c>
      <c r="F68" s="153">
        <f t="shared" si="7"/>
        <v>1134.8428119163907</v>
      </c>
      <c r="G68" s="153">
        <f t="shared" si="7"/>
        <v>2181.7670703142176</v>
      </c>
      <c r="H68" s="67">
        <f t="shared" ref="H68:H83" si="8">B68-C68</f>
        <v>6.9845514791948796E-2</v>
      </c>
      <c r="I68" s="67">
        <f t="shared" ref="I68:I83" si="9">B68-D68</f>
        <v>-4.2439061100682268E-2</v>
      </c>
      <c r="J68" s="67">
        <f t="shared" si="5"/>
        <v>4.8975937931758473E-2</v>
      </c>
    </row>
    <row r="69" spans="1:10" ht="15.75">
      <c r="A69" s="42">
        <v>1994</v>
      </c>
      <c r="B69" s="67">
        <v>1.3259206774573897E-2</v>
      </c>
      <c r="C69" s="67">
        <v>3.9850000000000003E-2</v>
      </c>
      <c r="D69" s="67">
        <v>-8.0366555509985921E-2</v>
      </c>
      <c r="E69" s="153">
        <f t="shared" si="7"/>
        <v>45073.144068086905</v>
      </c>
      <c r="F69" s="153">
        <f t="shared" si="7"/>
        <v>1180.0662979712588</v>
      </c>
      <c r="G69" s="153">
        <f t="shared" si="7"/>
        <v>2006.4259659479505</v>
      </c>
      <c r="H69" s="67">
        <f t="shared" si="8"/>
        <v>-2.6590793225426106E-2</v>
      </c>
      <c r="I69" s="67">
        <f t="shared" si="9"/>
        <v>9.3625762284559821E-2</v>
      </c>
      <c r="J69" s="67">
        <f t="shared" si="5"/>
        <v>4.9718636171719899E-2</v>
      </c>
    </row>
    <row r="70" spans="1:10" ht="15.75">
      <c r="A70" s="42">
        <v>1995</v>
      </c>
      <c r="B70" s="67">
        <v>0.37195198902606308</v>
      </c>
      <c r="C70" s="67">
        <v>5.5150000000000005E-2</v>
      </c>
      <c r="D70" s="67">
        <v>0.23480780112538907</v>
      </c>
      <c r="E70" s="153">
        <f t="shared" si="7"/>
        <v>61838.189655870119</v>
      </c>
      <c r="F70" s="153">
        <f t="shared" si="7"/>
        <v>1245.1469543043738</v>
      </c>
      <c r="G70" s="153">
        <f t="shared" si="7"/>
        <v>2477.5504351330737</v>
      </c>
      <c r="H70" s="67">
        <f t="shared" si="8"/>
        <v>0.31680198902606305</v>
      </c>
      <c r="I70" s="67">
        <f t="shared" si="9"/>
        <v>0.13714418790067401</v>
      </c>
      <c r="J70" s="67">
        <f t="shared" si="5"/>
        <v>5.0791451119413633E-2</v>
      </c>
    </row>
    <row r="71" spans="1:10" ht="15.75">
      <c r="A71" s="42">
        <v>1996</v>
      </c>
      <c r="B71" s="67">
        <v>0.22680966018865789</v>
      </c>
      <c r="C71" s="67">
        <v>5.0224999999999999E-2</v>
      </c>
      <c r="D71" s="67">
        <v>1.428607793401844E-2</v>
      </c>
      <c r="E71" s="153">
        <f t="shared" si="7"/>
        <v>75863.688438399797</v>
      </c>
      <c r="F71" s="153">
        <f t="shared" si="7"/>
        <v>1307.684460084311</v>
      </c>
      <c r="G71" s="153">
        <f t="shared" si="7"/>
        <v>2512.9449137348461</v>
      </c>
      <c r="H71" s="67">
        <f t="shared" si="8"/>
        <v>0.1765846601886579</v>
      </c>
      <c r="I71" s="67">
        <f t="shared" si="9"/>
        <v>0.21252358225463946</v>
      </c>
      <c r="J71" s="67">
        <f t="shared" si="5"/>
        <v>5.304503967737495E-2</v>
      </c>
    </row>
    <row r="72" spans="1:10" ht="15.75">
      <c r="A72" s="42">
        <v>1997</v>
      </c>
      <c r="B72" s="67">
        <v>0.33103653103653097</v>
      </c>
      <c r="C72" s="67">
        <v>5.0525E-2</v>
      </c>
      <c r="D72" s="67">
        <v>9.939130272977531E-2</v>
      </c>
      <c r="E72" s="153">
        <f t="shared" si="7"/>
        <v>100977.34069068384</v>
      </c>
      <c r="F72" s="153">
        <f t="shared" si="7"/>
        <v>1373.7552174300708</v>
      </c>
      <c r="G72" s="153">
        <f t="shared" si="7"/>
        <v>2762.7097823991153</v>
      </c>
      <c r="H72" s="67">
        <f t="shared" si="8"/>
        <v>0.28051153103653098</v>
      </c>
      <c r="I72" s="67">
        <f t="shared" si="9"/>
        <v>0.23164522830675566</v>
      </c>
      <c r="J72" s="67">
        <f t="shared" si="5"/>
        <v>5.5315584903303572E-2</v>
      </c>
    </row>
    <row r="73" spans="1:10" ht="15.75">
      <c r="A73" s="42">
        <v>1998</v>
      </c>
      <c r="B73" s="67">
        <v>0.28337953278443584</v>
      </c>
      <c r="C73" s="67">
        <v>4.7274999999999998E-2</v>
      </c>
      <c r="D73" s="67">
        <v>0.14921431922606215</v>
      </c>
      <c r="E73" s="153">
        <f t="shared" si="7"/>
        <v>129592.25231742462</v>
      </c>
      <c r="F73" s="153">
        <f t="shared" si="7"/>
        <v>1438.6994953340775</v>
      </c>
      <c r="G73" s="153">
        <f t="shared" si="7"/>
        <v>3174.9456417989818</v>
      </c>
      <c r="H73" s="67">
        <f t="shared" si="8"/>
        <v>0.23610453278443583</v>
      </c>
      <c r="I73" s="67">
        <f t="shared" si="9"/>
        <v>0.13416521355837369</v>
      </c>
      <c r="J73" s="67">
        <f t="shared" si="5"/>
        <v>5.6306048135548625E-2</v>
      </c>
    </row>
    <row r="74" spans="1:10" ht="15.75">
      <c r="A74" s="42">
        <v>1999</v>
      </c>
      <c r="B74" s="67">
        <v>0.20885350992084475</v>
      </c>
      <c r="C74" s="67">
        <v>4.5100000000000001E-2</v>
      </c>
      <c r="D74" s="67">
        <v>-8.2542147962685761E-2</v>
      </c>
      <c r="E74" s="153">
        <f t="shared" si="7"/>
        <v>156658.0490724665</v>
      </c>
      <c r="F74" s="153">
        <f t="shared" si="7"/>
        <v>1503.5848425736442</v>
      </c>
      <c r="G74" s="153">
        <f t="shared" si="7"/>
        <v>2912.8788088601259</v>
      </c>
      <c r="H74" s="67">
        <f t="shared" si="8"/>
        <v>0.16375350992084475</v>
      </c>
      <c r="I74" s="67">
        <f t="shared" si="9"/>
        <v>0.2913956578835305</v>
      </c>
      <c r="J74" s="67">
        <f t="shared" si="5"/>
        <v>5.9634694818320177E-2</v>
      </c>
    </row>
    <row r="75" spans="1:10" ht="15.75">
      <c r="A75" s="42">
        <v>2000</v>
      </c>
      <c r="B75" s="67">
        <v>-9.0318189552492781E-2</v>
      </c>
      <c r="C75" s="67">
        <v>5.7625000000000003E-2</v>
      </c>
      <c r="D75" s="67">
        <v>0.16655267125397488</v>
      </c>
      <c r="E75" s="153">
        <f t="shared" si="7"/>
        <v>142508.97770141574</v>
      </c>
      <c r="F75" s="153">
        <f t="shared" si="7"/>
        <v>1590.2289191269506</v>
      </c>
      <c r="G75" s="153">
        <f t="shared" si="7"/>
        <v>3398.0265555148762</v>
      </c>
      <c r="H75" s="67">
        <f t="shared" si="8"/>
        <v>-0.14794318955249278</v>
      </c>
      <c r="I75" s="67">
        <f t="shared" si="9"/>
        <v>-0.25687086080646765</v>
      </c>
      <c r="J75" s="67">
        <f t="shared" si="5"/>
        <v>5.5111895842923087E-2</v>
      </c>
    </row>
    <row r="76" spans="1:10" ht="15.75">
      <c r="A76" s="42">
        <v>2001</v>
      </c>
      <c r="B76" s="67">
        <v>-0.11849759142000185</v>
      </c>
      <c r="C76" s="67">
        <v>3.6725000000000001E-2</v>
      </c>
      <c r="D76" s="67">
        <v>5.5721811892492555E-2</v>
      </c>
      <c r="E76" s="153">
        <f t="shared" si="7"/>
        <v>125622.00708807123</v>
      </c>
      <c r="F76" s="153">
        <f t="shared" si="7"/>
        <v>1648.6300761818877</v>
      </c>
      <c r="G76" s="153">
        <f t="shared" si="7"/>
        <v>3587.3707520469702</v>
      </c>
      <c r="H76" s="67">
        <f t="shared" si="8"/>
        <v>-0.15522259142000186</v>
      </c>
      <c r="I76" s="67">
        <f t="shared" si="9"/>
        <v>-0.17421940331249441</v>
      </c>
      <c r="J76" s="67">
        <f t="shared" si="5"/>
        <v>5.1665345512908356E-2</v>
      </c>
    </row>
    <row r="77" spans="1:10" ht="15.75">
      <c r="A77" s="42">
        <v>2002</v>
      </c>
      <c r="B77" s="67">
        <v>-0.21966047957912699</v>
      </c>
      <c r="C77" s="67">
        <v>1.6574999999999999E-2</v>
      </c>
      <c r="D77" s="67">
        <v>0.15116400378109285</v>
      </c>
      <c r="E77" s="153">
        <f t="shared" si="7"/>
        <v>98027.816765413008</v>
      </c>
      <c r="F77" s="153">
        <f t="shared" si="7"/>
        <v>1675.9561196946024</v>
      </c>
      <c r="G77" s="153">
        <f t="shared" si="7"/>
        <v>4129.6520779735802</v>
      </c>
      <c r="H77" s="67">
        <f t="shared" si="8"/>
        <v>-0.23623547957912699</v>
      </c>
      <c r="I77" s="67">
        <f t="shared" si="9"/>
        <v>-0.37082448336021984</v>
      </c>
      <c r="J77" s="67">
        <f t="shared" si="5"/>
        <v>4.5325449773477855E-2</v>
      </c>
    </row>
    <row r="78" spans="1:10" ht="15.75">
      <c r="A78" s="42">
        <v>2003</v>
      </c>
      <c r="B78" s="67">
        <v>0.28355800050010233</v>
      </c>
      <c r="C78" s="67">
        <v>1.03E-2</v>
      </c>
      <c r="D78" s="67">
        <v>3.7531858817758529E-3</v>
      </c>
      <c r="E78" s="153">
        <f t="shared" si="7"/>
        <v>125824.38848080393</v>
      </c>
      <c r="F78" s="153">
        <f t="shared" si="7"/>
        <v>1693.2184677274568</v>
      </c>
      <c r="G78" s="153">
        <f t="shared" si="7"/>
        <v>4145.1514298492766</v>
      </c>
      <c r="H78" s="67">
        <f t="shared" si="8"/>
        <v>0.27325800050010235</v>
      </c>
      <c r="I78" s="67">
        <f t="shared" si="9"/>
        <v>0.27980481461832646</v>
      </c>
      <c r="J78" s="67">
        <f t="shared" si="5"/>
        <v>4.8237796117156506E-2</v>
      </c>
    </row>
    <row r="79" spans="1:10" ht="15.75">
      <c r="A79" s="42">
        <v>2004</v>
      </c>
      <c r="B79" s="67">
        <v>0.10742775944096193</v>
      </c>
      <c r="C79" s="67">
        <v>1.2275000000000001E-2</v>
      </c>
      <c r="D79" s="67">
        <v>4.490683702274547E-2</v>
      </c>
      <c r="E79" s="153">
        <f t="shared" si="7"/>
        <v>139341.42061832585</v>
      </c>
      <c r="F79" s="153">
        <f t="shared" si="7"/>
        <v>1714.0027244188113</v>
      </c>
      <c r="G79" s="153">
        <f t="shared" si="7"/>
        <v>4331.2970695441181</v>
      </c>
      <c r="H79" s="67">
        <f t="shared" si="8"/>
        <v>9.5152759440961937E-2</v>
      </c>
      <c r="I79" s="67">
        <f t="shared" si="9"/>
        <v>6.2520922418216468E-2</v>
      </c>
      <c r="J79" s="67">
        <f t="shared" si="5"/>
        <v>4.842299846885445E-2</v>
      </c>
    </row>
    <row r="80" spans="1:10" ht="15.75">
      <c r="A80" s="42">
        <v>2005</v>
      </c>
      <c r="B80" s="67">
        <v>4.8344775232688535E-2</v>
      </c>
      <c r="C80" s="67">
        <v>3.0099999999999998E-2</v>
      </c>
      <c r="D80" s="67">
        <v>2.8675329597779506E-2</v>
      </c>
      <c r="E80" s="153">
        <f t="shared" si="7"/>
        <v>146077.8502787223</v>
      </c>
      <c r="F80" s="153">
        <f t="shared" si="7"/>
        <v>1765.5942064238177</v>
      </c>
      <c r="G80" s="153">
        <f t="shared" si="7"/>
        <v>4455.4984405991927</v>
      </c>
      <c r="H80" s="67">
        <f t="shared" si="8"/>
        <v>1.8244775232688536E-2</v>
      </c>
      <c r="I80" s="67">
        <f t="shared" si="9"/>
        <v>1.9669445634909029E-2</v>
      </c>
      <c r="J80" s="67">
        <f t="shared" si="5"/>
        <v>4.8042189402255131E-2</v>
      </c>
    </row>
    <row r="81" spans="1:10" ht="15.75">
      <c r="A81" s="42">
        <v>2006</v>
      </c>
      <c r="B81" s="67">
        <v>0.15612557979315703</v>
      </c>
      <c r="C81" s="67">
        <v>4.6775000000000004E-2</v>
      </c>
      <c r="D81" s="67">
        <v>1.9610012417568386E-2</v>
      </c>
      <c r="E81" s="153">
        <f t="shared" si="7"/>
        <v>168884.33934842583</v>
      </c>
      <c r="F81" s="153">
        <f t="shared" si="7"/>
        <v>1848.1798754292918</v>
      </c>
      <c r="G81" s="153">
        <f t="shared" si="7"/>
        <v>4542.8708203458</v>
      </c>
      <c r="H81" s="67">
        <f t="shared" si="8"/>
        <v>0.10935057979315702</v>
      </c>
      <c r="I81" s="67">
        <f t="shared" si="9"/>
        <v>0.13651556737558865</v>
      </c>
      <c r="J81" s="67">
        <f t="shared" si="5"/>
        <v>4.9149036004805913E-2</v>
      </c>
    </row>
    <row r="82" spans="1:10" ht="15.75">
      <c r="A82" s="42">
        <v>2007</v>
      </c>
      <c r="B82" s="67">
        <v>5.4847352464217694E-2</v>
      </c>
      <c r="C82" s="67">
        <v>4.6425000000000001E-2</v>
      </c>
      <c r="D82" s="67">
        <v>0.10209921930012807</v>
      </c>
      <c r="E82" s="153">
        <f t="shared" si="7"/>
        <v>178147.19823435548</v>
      </c>
      <c r="F82" s="153">
        <f t="shared" si="7"/>
        <v>1933.9816261460965</v>
      </c>
      <c r="G82" s="153">
        <f t="shared" si="7"/>
        <v>5006.6943844844382</v>
      </c>
      <c r="H82" s="67">
        <f t="shared" si="8"/>
        <v>8.4223524642176931E-3</v>
      </c>
      <c r="I82" s="67">
        <f t="shared" si="9"/>
        <v>-4.7251866835910372E-2</v>
      </c>
      <c r="J82" s="67">
        <f t="shared" si="5"/>
        <v>4.7948712238125024E-2</v>
      </c>
    </row>
    <row r="83" spans="1:10" ht="15.75">
      <c r="A83" s="42">
        <v>2008</v>
      </c>
      <c r="B83" s="67">
        <v>-0.36552344111798191</v>
      </c>
      <c r="C83" s="67">
        <v>1.585E-2</v>
      </c>
      <c r="D83" s="67">
        <v>0.20101279926977011</v>
      </c>
      <c r="E83" s="153">
        <f t="shared" si="7"/>
        <v>113030.22131020659</v>
      </c>
      <c r="F83" s="153">
        <f t="shared" si="7"/>
        <v>1964.6352349205119</v>
      </c>
      <c r="G83" s="153">
        <f t="shared" si="7"/>
        <v>6013.1040377978934</v>
      </c>
      <c r="H83" s="67">
        <f t="shared" si="8"/>
        <v>-0.38137344111798188</v>
      </c>
      <c r="I83" s="67">
        <f t="shared" si="9"/>
        <v>-0.56653624038775208</v>
      </c>
      <c r="J83" s="67">
        <f t="shared" si="5"/>
        <v>3.8795868868689798E-2</v>
      </c>
    </row>
    <row r="84" spans="1:10" ht="15.75">
      <c r="A84" s="42">
        <v>2009</v>
      </c>
      <c r="B84" s="67">
        <v>0.25935233877663982</v>
      </c>
      <c r="C84" s="67">
        <v>1.3500000000000001E-3</v>
      </c>
      <c r="D84" s="67">
        <v>-0.11116695313259162</v>
      </c>
      <c r="E84" s="153">
        <f t="shared" ref="E84:G86" si="10">E83*(1+B84)</f>
        <v>142344.87355944986</v>
      </c>
      <c r="F84" s="153">
        <f t="shared" si="10"/>
        <v>1967.2874924876546</v>
      </c>
      <c r="G84" s="153">
        <f t="shared" si="10"/>
        <v>5344.6455830466175</v>
      </c>
      <c r="H84" s="67">
        <f>B84-C84</f>
        <v>0.25800233877663981</v>
      </c>
      <c r="I84" s="67">
        <f>B84-D84</f>
        <v>0.37051929190923144</v>
      </c>
      <c r="J84" s="67">
        <f t="shared" si="5"/>
        <v>4.2868506133348472E-2</v>
      </c>
    </row>
    <row r="85" spans="1:10" ht="15.75">
      <c r="A85" s="42">
        <v>2010</v>
      </c>
      <c r="B85" s="67">
        <v>0.14821092278719414</v>
      </c>
      <c r="C85" s="67">
        <v>1.2999999999999999E-3</v>
      </c>
      <c r="D85" s="67">
        <v>8.4629338803557719E-2</v>
      </c>
      <c r="E85" s="153">
        <f t="shared" si="10"/>
        <v>163441.93862372241</v>
      </c>
      <c r="F85" s="153">
        <f t="shared" si="10"/>
        <v>1969.8449662278888</v>
      </c>
      <c r="G85" s="153">
        <f>G84*(1+D85)</f>
        <v>5796.9594048792078</v>
      </c>
      <c r="H85" s="67">
        <f>B85-C85</f>
        <v>0.14691092278719414</v>
      </c>
      <c r="I85" s="67">
        <f>B85-D85</f>
        <v>6.3581583983636419E-2</v>
      </c>
      <c r="J85" s="67">
        <f t="shared" si="5"/>
        <v>4.3108516433475463E-2</v>
      </c>
    </row>
    <row r="86" spans="1:10" ht="15.75">
      <c r="A86" s="42">
        <v>2011</v>
      </c>
      <c r="B86" s="67">
        <v>2.09837473362805E-2</v>
      </c>
      <c r="C86" s="67">
        <v>2.9999999999999997E-4</v>
      </c>
      <c r="D86" s="67">
        <v>0.16035334999461354</v>
      </c>
      <c r="E86" s="153">
        <f t="shared" si="10"/>
        <v>166871.56296795449</v>
      </c>
      <c r="F86" s="153">
        <f t="shared" si="10"/>
        <v>1970.4359197177571</v>
      </c>
      <c r="G86" s="153">
        <f>G85*(1+D86)</f>
        <v>6726.5212652343698</v>
      </c>
      <c r="H86" s="67">
        <f>B86-C86</f>
        <v>2.0683747336280499E-2</v>
      </c>
      <c r="I86" s="67">
        <f>B86-D86</f>
        <v>-0.13936960265833304</v>
      </c>
      <c r="J86" s="67">
        <f t="shared" si="5"/>
        <v>4.0970429004248521E-2</v>
      </c>
    </row>
    <row r="87" spans="1:10" ht="15.75">
      <c r="A87" s="42">
        <v>2012</v>
      </c>
      <c r="B87" s="67">
        <v>0.15890585241730293</v>
      </c>
      <c r="C87" s="67">
        <v>5.0000000000000001E-4</v>
      </c>
      <c r="D87" s="67">
        <v>2.971571978018946E-2</v>
      </c>
      <c r="E87" s="153">
        <f>E86*(1+B87)</f>
        <v>193388.43092558492</v>
      </c>
      <c r="F87" s="153">
        <f>F86*(1+C87)</f>
        <v>1971.4211376776159</v>
      </c>
      <c r="G87" s="153">
        <f>G86*(1+D87)</f>
        <v>6926.4046862475598</v>
      </c>
      <c r="H87" s="67">
        <f>B87-C87</f>
        <v>0.15840585241730293</v>
      </c>
      <c r="I87" s="67">
        <f>B87-D87</f>
        <v>0.12919013263711346</v>
      </c>
      <c r="J87" s="67">
        <f t="shared" si="5"/>
        <v>4.1988275684727405E-2</v>
      </c>
    </row>
    <row r="88" spans="1:10" ht="15.75">
      <c r="A88" s="68">
        <v>2013</v>
      </c>
      <c r="B88" s="67">
        <v>0.32145085858125483</v>
      </c>
      <c r="C88" s="69">
        <v>6.6E-4</v>
      </c>
      <c r="D88" s="67">
        <v>-9.104568794347262E-2</v>
      </c>
      <c r="E88" s="153">
        <f>E87*(1+B88)</f>
        <v>255553.30808629587</v>
      </c>
      <c r="F88" s="153">
        <f>F87*(1+C88)</f>
        <v>1972.7222756284834</v>
      </c>
      <c r="G88" s="153">
        <f>G87*(1+D88)</f>
        <v>6295.7854066132577</v>
      </c>
      <c r="H88" s="67">
        <f>B88-C88</f>
        <v>0.32079085858125483</v>
      </c>
      <c r="I88" s="67">
        <f>B88-D88</f>
        <v>0.41249654652472745</v>
      </c>
      <c r="J88" s="67">
        <f t="shared" si="5"/>
        <v>4.6176809418723153E-2</v>
      </c>
    </row>
    <row r="89" spans="1:10" ht="15.75">
      <c r="A89" s="68">
        <v>2014</v>
      </c>
      <c r="B89" s="67">
        <v>0.1347735289662188</v>
      </c>
      <c r="C89" s="69">
        <v>5.2999999999999998E-4</v>
      </c>
      <c r="D89" s="67">
        <v>0.10746180452004755</v>
      </c>
      <c r="E89" s="153">
        <v>289995.12925607734</v>
      </c>
      <c r="F89" s="153">
        <v>1973.7678184345664</v>
      </c>
      <c r="G89" s="153">
        <v>6972.3418672788994</v>
      </c>
      <c r="H89" s="67">
        <v>0.1342435289662188</v>
      </c>
      <c r="I89" s="67">
        <v>2.7311724446171248E-2</v>
      </c>
      <c r="J89" s="67">
        <f t="shared" si="5"/>
        <v>4.5969805259763685E-2</v>
      </c>
    </row>
    <row r="90" spans="1:10" ht="15.75">
      <c r="A90" s="68">
        <v>2015</v>
      </c>
      <c r="B90" s="67">
        <v>1.3599494875904609E-2</v>
      </c>
      <c r="C90" s="69">
        <v>2.0999999999999999E-3</v>
      </c>
      <c r="D90" s="67">
        <v>1.2842996709792224E-2</v>
      </c>
      <c r="E90" s="153">
        <v>294060.83811089932</v>
      </c>
      <c r="F90" s="153">
        <v>1977.9127308532788</v>
      </c>
      <c r="G90" s="153">
        <v>7061.8876309399093</v>
      </c>
      <c r="H90" s="67">
        <v>1.149949487590461E-2</v>
      </c>
      <c r="I90" s="67">
        <v>7.5649816611238554E-4</v>
      </c>
      <c r="J90" s="67">
        <f t="shared" si="5"/>
        <v>4.543213214629449E-2</v>
      </c>
    </row>
    <row r="91" spans="1:10" ht="15.75">
      <c r="A91" s="146">
        <v>2016</v>
      </c>
      <c r="B91" s="147">
        <v>0.11740300406086394</v>
      </c>
      <c r="C91" s="148">
        <v>5.1000000000000004E-3</v>
      </c>
      <c r="D91" s="147">
        <v>6.9055046987477921E-3</v>
      </c>
      <c r="E91" s="149">
        <f>E90*(1+B91)</f>
        <v>328584.46388177428</v>
      </c>
      <c r="F91" s="149">
        <f>F90*(1+C91)</f>
        <v>1988.0000857806308</v>
      </c>
      <c r="G91" s="149">
        <f>G90*(1+D91)</f>
        <v>7110.6535291573937</v>
      </c>
      <c r="H91" s="147">
        <f>B91-C91</f>
        <v>0.11230300406086394</v>
      </c>
      <c r="I91" s="147">
        <f>B91-D91</f>
        <v>0.11049749936211616</v>
      </c>
      <c r="J91" s="67">
        <f>((E91/100)^(1/(A91-$A$3+1)))-((G91/100)^(1/(A91-$A$3+1)))</f>
        <v>4.6170592023807355E-2</v>
      </c>
    </row>
    <row r="92" spans="1:10" ht="15.75">
      <c r="A92" s="150">
        <v>2017</v>
      </c>
      <c r="B92" s="151">
        <v>0.2160548143449928</v>
      </c>
      <c r="C92" s="152">
        <v>9.3083333333333334E-3</v>
      </c>
      <c r="D92" s="151">
        <v>2.8017162707789457E-2</v>
      </c>
      <c r="E92" s="149">
        <f t="shared" ref="E92:E94" si="11">E91*(1+B92)</f>
        <v>399576.71922239999</v>
      </c>
      <c r="F92" s="149">
        <f t="shared" ref="F92:F94" si="12">F91*(1+C92)</f>
        <v>2006.5050532457719</v>
      </c>
      <c r="G92" s="149">
        <f t="shared" ref="G92:G94" si="13">G91*(1+D92)</f>
        <v>7309.8738660425133</v>
      </c>
      <c r="H92" s="147">
        <f t="shared" ref="H92:H94" si="14">B92-C92</f>
        <v>0.20674648101165946</v>
      </c>
      <c r="I92" s="147">
        <f t="shared" ref="I92:I94" si="15">B92-D92</f>
        <v>0.18803765163720335</v>
      </c>
      <c r="J92" s="67">
        <f t="shared" ref="J92:J94" si="16">((E92/100)^(1/(A92-$A$3+1)))-((G92/100)^(1/(A92-$A$3+1)))</f>
        <v>4.7680990010414925E-2</v>
      </c>
    </row>
    <row r="93" spans="1:10" ht="15.75">
      <c r="A93" s="172">
        <v>2018</v>
      </c>
      <c r="B93" s="173">
        <v>-4.2268692890885438E-2</v>
      </c>
      <c r="C93" s="173">
        <v>1.9391666666666668E-2</v>
      </c>
      <c r="D93" s="173">
        <v>-1.6692385713402633E-4</v>
      </c>
      <c r="E93" s="149">
        <f t="shared" si="11"/>
        <v>382687.1335912408</v>
      </c>
      <c r="F93" s="149">
        <f t="shared" si="12"/>
        <v>2045.4145304032963</v>
      </c>
      <c r="G93" s="149">
        <f t="shared" si="13"/>
        <v>7308.6536737016304</v>
      </c>
      <c r="H93" s="147">
        <f t="shared" si="14"/>
        <v>-6.1660359557552107E-2</v>
      </c>
      <c r="I93" s="147">
        <f t="shared" si="15"/>
        <v>-4.2101769033751416E-2</v>
      </c>
      <c r="J93" s="67">
        <f t="shared" si="16"/>
        <v>4.6602891619891507E-2</v>
      </c>
    </row>
    <row r="94" spans="1:10" ht="15.75">
      <c r="A94" s="174">
        <v>2019</v>
      </c>
      <c r="B94" s="175">
        <v>0.31223647206653782</v>
      </c>
      <c r="C94" s="175">
        <v>1.55E-2</v>
      </c>
      <c r="D94" s="175">
        <v>9.6356307415483927E-2</v>
      </c>
      <c r="E94" s="149">
        <f t="shared" si="11"/>
        <v>502176.01408902567</v>
      </c>
      <c r="F94" s="149">
        <f t="shared" si="12"/>
        <v>2077.1184556245476</v>
      </c>
      <c r="G94" s="149">
        <f t="shared" si="13"/>
        <v>8012.8885538781296</v>
      </c>
      <c r="H94" s="147">
        <f t="shared" si="14"/>
        <v>0.2967364720665378</v>
      </c>
      <c r="I94" s="147">
        <f t="shared" si="15"/>
        <v>0.21588016465105389</v>
      </c>
      <c r="J94" s="67">
        <f t="shared" si="16"/>
        <v>4.8249046002781348E-2</v>
      </c>
    </row>
  </sheetData>
  <printOptions gridLines="1" gridLinesSet="0"/>
  <pageMargins left="0.75" right="0.75" top="1" bottom="1" header="0.5" footer="0.5"/>
  <pageSetup orientation="portrait" horizontalDpi="4294967292" verticalDpi="4294967292"/>
  <headerFooter alignWithMargins="0">
    <oddHeader>&amp;A</oddHeader>
    <oddFooter>Page &amp;P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44" sqref="A44"/>
    </sheetView>
  </sheetViews>
  <sheetFormatPr defaultColWidth="10.6640625" defaultRowHeight="13.15"/>
  <sheetData>
    <row r="1" spans="1:1">
      <c r="A1" t="s">
        <v>97</v>
      </c>
    </row>
    <row r="2" spans="1:1">
      <c r="A2" t="s">
        <v>95</v>
      </c>
    </row>
    <row r="3" spans="1:1">
      <c r="A3" t="s">
        <v>96</v>
      </c>
    </row>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ColWidth="10.6640625" defaultRowHeight="13.15"/>
  <sheetData/>
  <printOptions gridLines="1" gridLinesSet="0"/>
  <pageMargins left="0.75" right="0.75" top="1" bottom="1" header="0.5" footer="0.5"/>
  <headerFooter alignWithMargins="0">
    <oddHeader>&amp;A</oddHeader>
    <oddFooter>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S&amp;P 500 Valuation</vt:lpstr>
      <vt:lpstr>Earnings and Growth</vt:lpstr>
      <vt:lpstr>Buyback &amp; Dividend computation</vt:lpstr>
      <vt:lpstr>Implied ERP- Annual since 1960</vt:lpstr>
      <vt:lpstr>Historical ERP</vt:lpstr>
      <vt:lpstr>Sheet9</vt:lpstr>
      <vt:lpstr>Sheet10</vt:lpstr>
      <vt:lpstr>Sheet11</vt:lpstr>
      <vt:lpstr>Sheet12</vt:lpstr>
      <vt:lpstr>Sheet13</vt:lpstr>
      <vt:lpstr>Sheet14</vt:lpstr>
      <vt:lpstr>Sheet15</vt:lpstr>
      <vt:lpstr>Sheet16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deepa</cp:lastModifiedBy>
  <cp:lastPrinted>2011-09-21T14:04:20Z</cp:lastPrinted>
  <dcterms:created xsi:type="dcterms:W3CDTF">2005-01-04T16:33:33Z</dcterms:created>
  <dcterms:modified xsi:type="dcterms:W3CDTF">2021-02-22T15:22:49Z</dcterms:modified>
</cp:coreProperties>
</file>